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RDQKNGUswlsHmadU8U6bEJ4Wz4K/pKxWqFaH+YSfKu1s1H8psXaBFavhLHNQgGi4hkGoA7k9macL+mx2fTOoRA==" workbookSaltValue="SU1Zw307n3W2u6RvVNWEa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V10" i="16"/>
  <c r="BU18" i="17"/>
  <c r="S11" i="17"/>
  <c r="BV20" i="16"/>
  <c r="T14" i="16"/>
  <c r="AZ22" i="11"/>
  <c r="X16" i="17"/>
  <c r="T17" i="11"/>
  <c r="P16" i="17"/>
  <c r="BF12" i="11"/>
  <c r="BH25" i="16"/>
  <c r="BK20" i="11"/>
  <c r="BJ10" i="11"/>
  <c r="Q16" i="17"/>
  <c r="BF16" i="11"/>
  <c r="BL22" i="1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H21" i="2" l="1"/>
  <c r="BF17" i="8"/>
  <c r="AY14" i="8"/>
  <c r="BD12" i="8"/>
  <c r="I10" i="3"/>
  <c r="E10" i="3"/>
  <c r="X13" i="16"/>
  <c r="V25" i="16"/>
  <c r="L9" i="2"/>
  <c r="U9" i="17"/>
  <c r="U31" i="17" s="1"/>
  <c r="L19" i="2"/>
  <c r="X10" i="21"/>
  <c r="L13" i="2"/>
  <c r="L25" i="2"/>
  <c r="L12" i="2"/>
  <c r="S17" i="17"/>
  <c r="S16" i="17"/>
  <c r="X21" i="20"/>
  <c r="L28" i="2"/>
  <c r="L10" i="2"/>
  <c r="BH22" i="11"/>
  <c r="BL17" i="11"/>
  <c r="BK22" i="11"/>
  <c r="BJ17" i="11"/>
  <c r="BH12" i="16"/>
  <c r="AQ12" i="21"/>
  <c r="BH17" i="11"/>
  <c r="BM18" i="11"/>
  <c r="BK17" i="11"/>
  <c r="AZ25" i="11"/>
  <c r="AZ30" i="11" s="1"/>
  <c r="BH21" i="11"/>
  <c r="BL16" i="11"/>
  <c r="BL20" i="11"/>
  <c r="S16" i="16"/>
  <c r="BF20" i="11"/>
  <c r="AZ17" i="11"/>
  <c r="AA20" i="16"/>
  <c r="BU17" i="17"/>
  <c r="BV29" i="16"/>
  <c r="BW22" i="20"/>
  <c r="BW29" i="20"/>
  <c r="BW16" i="20"/>
  <c r="BW17" i="20"/>
  <c r="BU21" i="17"/>
  <c r="BU11"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B32" i="20"/>
  <c r="S32" i="20"/>
  <c r="N32" i="20"/>
  <c r="AA32" i="20"/>
  <c r="AN32" i="20"/>
  <c r="Z32" i="20"/>
  <c r="T32" i="20"/>
  <c r="AM32" i="20"/>
  <c r="Q32" i="20"/>
  <c r="W32" i="21"/>
  <c r="E32" i="20"/>
  <c r="AV32" i="20"/>
  <c r="O32" i="20"/>
  <c r="AQ32" i="21"/>
  <c r="Y32" i="20"/>
  <c r="L32" i="20"/>
  <c r="AJ32" i="20"/>
  <c r="AH32" i="20"/>
  <c r="I32" i="20"/>
  <c r="O18" i="11"/>
  <c r="AI32" i="20"/>
  <c r="R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V32" i="21"/>
  <c r="AW32" i="1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V32" i="11"/>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AO33" i="11" l="1"/>
  <c r="BM31" i="1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<sst xmlns="http://schemas.openxmlformats.org/spreadsheetml/2006/main" count="2682" uniqueCount="1193">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</sst>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KmIpBQ21uPu3xrimQYF/0MxE6chiBOY29LEKo+uzLqOP56eoHO5HEmFTI7ebFzYJaHvhqR1ZYfTD9QwekWbOw==" saltValue="Umg3KJoX77/8r3DNVodq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7</v>
      </c>
      <c r="F10" s="240">
        <f>IF(ISNUMBER(Datos!K10),Datos!K10," - ")</f>
        <v>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10.163498098859316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7</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298</v>
      </c>
      <c r="D17" s="239">
        <f>IF(ISNUMBER(IF(D_I="SI",Datos!I17,Datos!I17+Datos!AC17)),IF(D_I="SI",Datos!I17,Datos!I17+Datos!AC17)," - ")</f>
        <v>291</v>
      </c>
      <c r="E17" s="240">
        <f>IF(ISNUMBER(IF(D_I="SI",Datos!J17,Datos!J17+Datos!AD17)),IF(D_I="SI",Datos!J17,Datos!J17+Datos!AD17)," - ")</f>
        <v>799</v>
      </c>
      <c r="F17" s="240">
        <f>IF(ISNUMBER(IF(D_I="SI",Datos!K17,Datos!K17+Datos!AE17)),IF(D_I="SI",Datos!K17,Datos!K17+Datos!AE17)," - ")</f>
        <v>691</v>
      </c>
      <c r="G17" s="1390" t="str">
        <f>IF(Datos!E17&lt;&gt;"",Datos!E17,Datos!D17)</f>
        <v>04</v>
      </c>
      <c r="H17" s="241">
        <f>IF(ISNUMBER(IF(D_I="SI",Datos!L17,Datos!L17+Datos!AF17)),IF(D_I="SI",Datos!L17,Datos!L17+Datos!AF17)," - ")</f>
        <v>406</v>
      </c>
      <c r="I17" s="1400" t="str">
        <f>IF(ISNUMBER(Datos!AS17/Datos!BM17),Datos!AS17/Datos!BM17," - ")</f>
        <v xml:space="preserve"> - </v>
      </c>
      <c r="J17" s="1401">
        <f>IF(ISNUMBER(Datos!BY17/Datos!CN17),Datos!BY17/Datos!CN17," - ")</f>
        <v>0</v>
      </c>
      <c r="K17" s="244">
        <f t="shared" si="3"/>
        <v>0.36241610738255031</v>
      </c>
      <c r="L17" s="1402">
        <f>IF(ISNUMBER(NºAsuntos!I17/NºAsuntos!G17),(NºAsuntos!I17/NºAsuntos!G17)*11," - ")</f>
        <v>6.4630969609261939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66</v>
      </c>
      <c r="F18" s="240">
        <f>IF(ISNUMBER(IF(D_I="SI",Datos!K18,Datos!K18+Datos!AE18)),IF(D_I="SI",Datos!K18,Datos!K18+Datos!AE18)," - ")</f>
        <v>49</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0.77272727272727271</v>
      </c>
      <c r="L18" s="1402">
        <f>IF(ISNUMBER(NºAsuntos!I18/NºAsuntos!G18),(NºAsuntos!I18/NºAsuntos!G18)*11," - ")</f>
        <v>8.7551020408163271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320</v>
      </c>
      <c r="D23" s="1407">
        <f>SUBTOTAL(9,D16:D22)</f>
        <v>313</v>
      </c>
      <c r="E23" s="1408">
        <f>SUBTOTAL(9,E16:E22)</f>
        <v>865</v>
      </c>
      <c r="F23" s="1408">
        <f>SUBTOTAL(9,F16:F22)</f>
        <v>740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320</v>
      </c>
      <c r="D31" s="1435">
        <f>SUBTOTAL(9,D9:D30)</f>
        <v>313</v>
      </c>
      <c r="E31" s="1436">
        <f>SUBTOTAL(9,E9:E30)</f>
        <v>872</v>
      </c>
      <c r="F31" s="1436">
        <f>SUBTOTAL(9,F9:F30)</f>
        <v>741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p8lA+Te2Lxat/sW0T4YXkvf1KWJgaKYVHfJl8URfQHA2u0qwjiaBjPsaqurEjJovCLX9NNTB4BeaDx/PjYRiqQ==" saltValue="jteUwY6deKV/u2kfKLwh1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5Bvtmnis+qngvXRENlmZknn0mg2aC9a7HFL3Jh8VOAuTa8yf5sLx+dyNjmKAotZYG4z7aQg1JqDJVKb0rDB7A==" saltValue="rvwU/uicZ+Rv1T+K9zwT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7</v>
      </c>
      <c r="K10" s="194">
        <v>1</v>
      </c>
      <c r="L10" s="194">
        <v>6</v>
      </c>
      <c r="M10" s="194">
        <v>0</v>
      </c>
      <c r="N10" s="194">
        <v>1</v>
      </c>
      <c r="O10" s="194">
        <v>0</v>
      </c>
      <c r="P10" s="194">
        <v>0</v>
      </c>
      <c r="Q10" s="194">
        <v>0</v>
      </c>
      <c r="R10" s="194">
        <v>0</v>
      </c>
      <c r="S10" s="194">
        <v>0</v>
      </c>
      <c r="T10" s="194">
        <v>1</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1</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396</v>
      </c>
      <c r="J12" s="196">
        <v>549</v>
      </c>
      <c r="K12" s="196">
        <v>473</v>
      </c>
      <c r="L12" s="196">
        <v>474</v>
      </c>
      <c r="M12" s="196">
        <v>136</v>
      </c>
      <c r="N12" s="196">
        <v>215</v>
      </c>
      <c r="O12" s="194">
        <v>298</v>
      </c>
      <c r="P12" s="196">
        <v>161</v>
      </c>
      <c r="Q12" s="196">
        <v>228</v>
      </c>
      <c r="R12" s="196">
        <v>623</v>
      </c>
      <c r="S12" s="196">
        <v>249</v>
      </c>
      <c r="T12" s="196">
        <v>665</v>
      </c>
      <c r="U12" s="196">
        <v>605</v>
      </c>
      <c r="V12" s="196">
        <v>396</v>
      </c>
      <c r="W12" s="196">
        <v>149</v>
      </c>
      <c r="X12" s="202">
        <v>266</v>
      </c>
      <c r="Y12" s="204">
        <v>22</v>
      </c>
      <c r="Z12" s="194">
        <v>55</v>
      </c>
      <c r="AA12" s="194">
        <v>53</v>
      </c>
      <c r="AB12" s="194">
        <v>12</v>
      </c>
      <c r="AC12" s="196">
        <v>0</v>
      </c>
      <c r="AD12" s="196">
        <v>0</v>
      </c>
      <c r="AE12" s="196">
        <v>0</v>
      </c>
      <c r="AF12" s="202">
        <v>0</v>
      </c>
      <c r="AG12" s="215">
        <v>5</v>
      </c>
      <c r="AH12" s="196">
        <v>57</v>
      </c>
      <c r="AI12" s="196">
        <v>50</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254</v>
      </c>
      <c r="AZ12" s="137">
        <f t="shared" si="1"/>
        <v>722</v>
      </c>
      <c r="BA12" s="137">
        <f t="shared" si="1"/>
        <v>655</v>
      </c>
      <c r="BB12" s="137">
        <f t="shared" si="1"/>
        <v>418</v>
      </c>
      <c r="BC12" s="135">
        <f>IF(ISNUMBER(X12),X12," - ")</f>
        <v>266</v>
      </c>
      <c r="BD12" s="136">
        <f t="shared" si="2"/>
        <v>0.90720221606648199</v>
      </c>
      <c r="BE12" s="137">
        <f t="shared" si="3"/>
        <v>0.63816793893129775</v>
      </c>
      <c r="BF12" s="137">
        <f t="shared" si="4"/>
        <v>0.40610687022900765</v>
      </c>
      <c r="BG12" s="209">
        <f t="shared" si="5"/>
        <v>1.4900763358778626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396</v>
      </c>
      <c r="J14" s="197">
        <f t="shared" si="7"/>
        <v>556</v>
      </c>
      <c r="K14" s="197">
        <f t="shared" si="7"/>
        <v>474</v>
      </c>
      <c r="L14" s="197">
        <f t="shared" si="7"/>
        <v>480</v>
      </c>
      <c r="M14" s="197">
        <f t="shared" si="7"/>
        <v>136</v>
      </c>
      <c r="N14" s="197">
        <f t="shared" si="7"/>
        <v>216</v>
      </c>
      <c r="O14" s="197">
        <f t="shared" si="7"/>
        <v>298</v>
      </c>
      <c r="P14" s="197">
        <f t="shared" si="7"/>
        <v>161</v>
      </c>
      <c r="Q14" s="197">
        <f t="shared" si="7"/>
        <v>228</v>
      </c>
      <c r="R14" s="197">
        <f t="shared" si="7"/>
        <v>623</v>
      </c>
      <c r="S14" s="197">
        <f t="shared" si="7"/>
        <v>249</v>
      </c>
      <c r="T14" s="197">
        <f t="shared" si="7"/>
        <v>666</v>
      </c>
      <c r="U14" s="197">
        <f t="shared" si="7"/>
        <v>606</v>
      </c>
      <c r="V14" s="197">
        <f t="shared" si="7"/>
        <v>396</v>
      </c>
      <c r="W14" s="197">
        <f t="shared" si="7"/>
        <v>149</v>
      </c>
      <c r="X14" s="197">
        <f t="shared" si="7"/>
        <v>266</v>
      </c>
      <c r="Y14" s="197">
        <f t="shared" si="7"/>
        <v>22</v>
      </c>
      <c r="Z14" s="197">
        <f t="shared" si="7"/>
        <v>55</v>
      </c>
      <c r="AA14" s="197">
        <f t="shared" si="7"/>
        <v>53</v>
      </c>
      <c r="AB14" s="197">
        <f t="shared" si="7"/>
        <v>12</v>
      </c>
      <c r="AC14" s="197">
        <f t="shared" si="7"/>
        <v>0</v>
      </c>
      <c r="AD14" s="197">
        <f t="shared" si="7"/>
        <v>0</v>
      </c>
      <c r="AE14" s="197">
        <f t="shared" si="7"/>
        <v>0</v>
      </c>
      <c r="AF14" s="197">
        <f>SUBTOTAL(9,AF9:AF13)</f>
        <v>0</v>
      </c>
      <c r="AG14" s="197">
        <f t="shared" ref="AG14:AT14" si="8">SUBTOTAL(9,AG8:AG13)</f>
        <v>5</v>
      </c>
      <c r="AH14" s="197">
        <f t="shared" si="8"/>
        <v>57</v>
      </c>
      <c r="AI14" s="197">
        <f t="shared" si="8"/>
        <v>50</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254</v>
      </c>
      <c r="AZ14" s="197">
        <f>SUBTOTAL(9,AZ8:AZ13)</f>
        <v>723</v>
      </c>
      <c r="BA14" s="197">
        <f>SUBTOTAL(9,BA8:BA13)</f>
        <v>656</v>
      </c>
      <c r="BB14" s="197">
        <f>SUBTOTAL(9,BB8:BB13)</f>
        <v>418</v>
      </c>
      <c r="BC14" s="197">
        <f>SUBTOTAL(9,BC8:BC13)</f>
        <v>266</v>
      </c>
      <c r="BD14" s="219">
        <f>IF(ISNUMBER(BA14/AZ14),BA14/AZ14," - ")</f>
        <v>0.90733056708160442</v>
      </c>
      <c r="BE14" s="220">
        <f>IF(ISNUMBER(BB14/BA14),BB14/BA14, " - ")</f>
        <v>0.63719512195121952</v>
      </c>
      <c r="BF14" s="220">
        <f>IF(ISNUMBER(BC14/BA14),BC14/BA14, " - ")</f>
        <v>0.40548780487804881</v>
      </c>
      <c r="BG14" s="221">
        <f>IF(ISNUMBER((AY14+AZ14)/BA14),(AY14+AZ14)/BA14," - ")</f>
        <v>1.4893292682926829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291</v>
      </c>
      <c r="J17" s="196">
        <v>799</v>
      </c>
      <c r="K17" s="196">
        <v>691</v>
      </c>
      <c r="L17" s="196">
        <v>406</v>
      </c>
      <c r="M17" s="196">
        <v>90</v>
      </c>
      <c r="N17" s="196">
        <v>398</v>
      </c>
      <c r="O17" s="194">
        <v>2</v>
      </c>
      <c r="P17" s="196">
        <v>24</v>
      </c>
      <c r="Q17" s="196">
        <v>17</v>
      </c>
      <c r="R17" s="196">
        <v>25</v>
      </c>
      <c r="S17" s="196">
        <v>284</v>
      </c>
      <c r="T17" s="196">
        <v>682</v>
      </c>
      <c r="U17" s="196">
        <v>698</v>
      </c>
      <c r="V17" s="196">
        <v>291</v>
      </c>
      <c r="W17" s="196">
        <v>84</v>
      </c>
      <c r="X17" s="202">
        <v>450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284</v>
      </c>
      <c r="AZ17" s="137">
        <f t="shared" si="10"/>
        <v>682</v>
      </c>
      <c r="BA17" s="137">
        <f t="shared" si="10"/>
        <v>698</v>
      </c>
      <c r="BB17" s="137">
        <f t="shared" si="10"/>
        <v>291</v>
      </c>
      <c r="BC17" s="135">
        <f>IF(ISNUMBER(W17),W17," - ")</f>
        <v>84</v>
      </c>
      <c r="BD17" s="136">
        <f t="shared" ref="BD17:BD22" si="12">IF(ISNUMBER(BA17/AZ17),BA17/AZ17," - ")</f>
        <v>1.0234604105571847</v>
      </c>
      <c r="BE17" s="137">
        <f t="shared" ref="BE17:BE22" si="13">IF(ISNUMBER(BB17/BA17),BB17/BA17, " - ")</f>
        <v>0.4169054441260745</v>
      </c>
      <c r="BF17" s="137">
        <f t="shared" ref="BF17:BF22" si="14">IF(ISNUMBER(BC17/BA17),BC17/BA17, " - ")</f>
        <v>0.12034383954154727</v>
      </c>
      <c r="BG17" s="209">
        <f t="shared" si="11"/>
        <v>1.3839541547277936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66</v>
      </c>
      <c r="K18" s="196">
        <v>49</v>
      </c>
      <c r="L18" s="196">
        <v>39</v>
      </c>
      <c r="M18" s="196">
        <v>4</v>
      </c>
      <c r="N18" s="196">
        <v>47</v>
      </c>
      <c r="O18" s="196">
        <v>0</v>
      </c>
      <c r="P18" s="196">
        <v>0</v>
      </c>
      <c r="Q18" s="196">
        <v>1</v>
      </c>
      <c r="R18" s="196">
        <v>0</v>
      </c>
      <c r="S18" s="196">
        <v>6</v>
      </c>
      <c r="T18" s="196">
        <v>68</v>
      </c>
      <c r="U18" s="196">
        <v>60</v>
      </c>
      <c r="V18" s="196">
        <v>22</v>
      </c>
      <c r="W18" s="196">
        <v>3</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68</v>
      </c>
      <c r="BA18" s="139">
        <f t="shared" si="15"/>
        <v>60</v>
      </c>
      <c r="BB18" s="139">
        <f t="shared" si="15"/>
        <v>22</v>
      </c>
      <c r="BC18" s="135">
        <f>IF(ISNUMBER(W18),W18," - ")</f>
        <v>3</v>
      </c>
      <c r="BD18" s="136">
        <f>IF(ISNUMBER(BA18/AZ18),BA18/AZ18," - ")</f>
        <v>0.88235294117647056</v>
      </c>
      <c r="BE18" s="137">
        <f>IF(ISNUMBER(BB18/BA18),BB18/BA18, " - ")</f>
        <v>0.36666666666666664</v>
      </c>
      <c r="BF18" s="137">
        <f>IF(ISNUMBER(BC18/BA18),BC18/BA18, " - ")</f>
        <v>0.05</v>
      </c>
      <c r="BG18" s="209">
        <f>IF(ISNUMBER((AY18+AZ18)/BA18),(AY18+AZ18)/BA18," - ")</f>
        <v>1.2333333333333334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313</v>
      </c>
      <c r="J23" s="197">
        <f t="shared" si="21"/>
        <v>865</v>
      </c>
      <c r="K23" s="197">
        <f t="shared" si="21"/>
        <v>740</v>
      </c>
      <c r="L23" s="197">
        <f t="shared" si="21"/>
        <v>445</v>
      </c>
      <c r="M23" s="197">
        <f t="shared" si="21"/>
        <v>94</v>
      </c>
      <c r="N23" s="197">
        <f t="shared" si="21"/>
        <v>445</v>
      </c>
      <c r="O23" s="197">
        <f t="shared" si="21"/>
        <v>2</v>
      </c>
      <c r="P23" s="197">
        <f t="shared" si="21"/>
        <v>24</v>
      </c>
      <c r="Q23" s="197">
        <f t="shared" si="21"/>
        <v>18</v>
      </c>
      <c r="R23" s="197">
        <f t="shared" si="21"/>
        <v>25</v>
      </c>
      <c r="S23" s="197">
        <f t="shared" si="21"/>
        <v>290</v>
      </c>
      <c r="T23" s="197">
        <f t="shared" si="21"/>
        <v>750</v>
      </c>
      <c r="U23" s="197">
        <f t="shared" si="21"/>
        <v>758</v>
      </c>
      <c r="V23" s="197">
        <f t="shared" si="21"/>
        <v>313</v>
      </c>
      <c r="W23" s="197">
        <f t="shared" si="21"/>
        <v>87</v>
      </c>
      <c r="X23" s="197">
        <f t="shared" si="21"/>
        <v>485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290</v>
      </c>
      <c r="AZ23" s="197">
        <f>SUBTOTAL(9,AZ15:AZ22)</f>
        <v>750</v>
      </c>
      <c r="BA23" s="197">
        <f>SUBTOTAL(9,BA15:BA22)</f>
        <v>758</v>
      </c>
      <c r="BB23" s="197">
        <f>SUBTOTAL(9,BB15:BB22)</f>
        <v>313</v>
      </c>
      <c r="BC23" s="197">
        <f>SUBTOTAL(9,BC15:BC22)</f>
        <v>87</v>
      </c>
      <c r="BD23" s="219">
        <f>IF(ISNUMBER(BA23/AZ23),BA23/AZ23," - ")</f>
        <v>1.0106666666666666</v>
      </c>
      <c r="BE23" s="220">
        <f>IF(ISNUMBER(BB23/BA23),BB23/BA23, " - ")</f>
        <v>0.4129287598944591</v>
      </c>
      <c r="BF23" s="220">
        <f>IF(ISNUMBER(BC23/BA23),BC23/BA23, " - ")</f>
        <v>0.11477572559366754</v>
      </c>
      <c r="BG23" s="221">
        <f>IF(ISNUMBER((AY23+AZ23)/BA23),(AY23+AZ23)/BA23," - ")</f>
        <v>1.3720316622691293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709</v>
      </c>
      <c r="J31" s="144">
        <f t="shared" si="36"/>
        <v>1421</v>
      </c>
      <c r="K31" s="144">
        <f t="shared" si="36"/>
        <v>1214</v>
      </c>
      <c r="L31" s="144">
        <f t="shared" si="36"/>
        <v>925</v>
      </c>
      <c r="M31" s="144">
        <f t="shared" si="36"/>
        <v>230</v>
      </c>
      <c r="N31" s="144">
        <f t="shared" si="36"/>
        <v>661</v>
      </c>
      <c r="O31" s="144">
        <f t="shared" si="36"/>
        <v>300</v>
      </c>
      <c r="P31" s="144">
        <f t="shared" si="36"/>
        <v>185</v>
      </c>
      <c r="Q31" s="144">
        <f t="shared" si="36"/>
        <v>246</v>
      </c>
      <c r="R31" s="144">
        <f t="shared" si="36"/>
        <v>648</v>
      </c>
      <c r="S31" s="144">
        <f t="shared" si="36"/>
        <v>539</v>
      </c>
      <c r="T31" s="144">
        <f t="shared" si="36"/>
        <v>1416</v>
      </c>
      <c r="U31" s="144">
        <f t="shared" si="36"/>
        <v>1364</v>
      </c>
      <c r="V31" s="144">
        <f t="shared" si="36"/>
        <v>709</v>
      </c>
      <c r="W31" s="144">
        <f t="shared" si="36"/>
        <v>236</v>
      </c>
      <c r="X31" s="144">
        <f t="shared" si="36"/>
        <v>751</v>
      </c>
      <c r="Y31" s="144">
        <f t="shared" si="36"/>
        <v>22</v>
      </c>
      <c r="Z31" s="144">
        <f t="shared" si="36"/>
        <v>55</v>
      </c>
      <c r="AA31" s="144">
        <f t="shared" si="36"/>
        <v>53</v>
      </c>
      <c r="AB31" s="144">
        <f t="shared" si="36"/>
        <v>12</v>
      </c>
      <c r="AC31" s="144">
        <f t="shared" si="36"/>
        <v>0</v>
      </c>
      <c r="AD31" s="144">
        <f t="shared" si="36"/>
        <v>0</v>
      </c>
      <c r="AE31" s="144">
        <f t="shared" si="36"/>
        <v>0</v>
      </c>
      <c r="AF31" s="144">
        <f t="shared" si="36"/>
        <v>0</v>
      </c>
      <c r="AG31" s="144">
        <f t="shared" si="36"/>
        <v>5</v>
      </c>
      <c r="AH31" s="144">
        <f t="shared" si="36"/>
        <v>57</v>
      </c>
      <c r="AI31" s="144">
        <f t="shared" si="36"/>
        <v>50</v>
      </c>
      <c r="AJ31" s="144">
        <f t="shared" si="36"/>
        <v>22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544</v>
      </c>
      <c r="AZ31" s="144">
        <f>SUBTOTAL(9,AZ9:AZ30)</f>
        <v>1473</v>
      </c>
      <c r="BA31" s="144">
        <f>SUBTOTAL(9,BA9:BA30)</f>
        <v>1414</v>
      </c>
      <c r="BB31" s="144">
        <f>SUBTOTAL(9,BB9:BB30)</f>
        <v>731</v>
      </c>
      <c r="BC31" s="145">
        <f>SUBTOTAL(9,BC9:BC30)</f>
        <v>353</v>
      </c>
      <c r="BD31" s="227">
        <f>IF(ISNUMBER(BA31/AZ31),BA31/AZ31," - ")</f>
        <v>0.95994568906992528</v>
      </c>
      <c r="BE31" s="224">
        <f>IF(ISNUMBER(BB31/BA31),BB31/BA31, " - ")</f>
        <v>0.516973125884017</v>
      </c>
      <c r="BF31" s="224">
        <f>IF(ISNUMBER(BC31/BA31),BC31/BA31, " - ")</f>
        <v>0.24964639321074963</v>
      </c>
      <c r="BG31" s="145">
        <f>IF(ISNUMBER((AY31+AZ31)/BA31),(AY31+AZ31)/BA31," - ")</f>
        <v>1.4264497878359264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yM84MYfHJgfTJjgfEf4+peGgHsVJSHIsyE4HRCPuDUXX8caEUBj8yxyT8IC0JW5jBj3ua/6ESYh+cCWuLidNQ==" saltValue="6JTZqxfpEcX5X/gdh0pH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NMPKKLG8/juRsJY6IZJa5QMoKeFCnzH9JBwv6v4xWC4edfiMsjNX3yhWGbzAhHs26qprT3lgFYKQfnA79HSiw==" saltValue="Dx/E5BqUA1KtVYR15ojW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TARAZONA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0.14285714285714285</v>
      </c>
      <c r="BH10" s="764">
        <f>IF(ISNUMBER(((Datos!L10/Datos!K10)*11)/factor_trimestre),((Datos!L10/Datos!K10)*11)/factor_trimestre," - ")</f>
        <v>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55</v>
      </c>
      <c r="O12" s="549"/>
      <c r="P12" s="549"/>
      <c r="Q12" s="547">
        <f>IF(ISNUMBER(Datos!P12),Datos!P12,0)</f>
        <v>161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623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136</v>
      </c>
      <c r="BD12" s="693">
        <f>IF(ISNUMBER(Datos!N12),Datos!N12," - ")</f>
        <v>215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0.87086092715231789</v>
      </c>
      <c r="BH12" s="764">
        <f>IF(ISNUMBER(((IF(J_V="SI",Datos!L12/Datos!K12,(Datos!L12+Datos!AB12)/(Datos!K12+Datos!AA12)))*11)/factor_trimestre),((IF(J_V="SI",Datos!L12/Datos!K12,(Datos!L12+Datos!AB12)/(Datos!K12+Datos!AA12)))*11)/factor_trimestre," - ")</f>
        <v>10.163498098859316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-9.7101449275362323E-2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55</v>
      </c>
      <c r="O14" s="1199">
        <f t="shared" si="1"/>
        <v>0</v>
      </c>
      <c r="P14" s="1199">
        <f t="shared" si="1"/>
        <v>0</v>
      </c>
      <c r="Q14" s="1198">
        <f t="shared" si="1"/>
        <v>161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228</v>
      </c>
      <c r="AD14" s="1198">
        <f t="shared" si="2"/>
        <v>0</v>
      </c>
      <c r="AE14" s="1198">
        <f t="shared" si="2"/>
        <v>0</v>
      </c>
      <c r="AF14" s="1198">
        <f t="shared" si="2"/>
        <v>6</v>
      </c>
      <c r="AG14" s="1198">
        <f t="shared" si="2"/>
        <v>0</v>
      </c>
      <c r="AH14" s="1198">
        <f t="shared" si="2"/>
        <v>12</v>
      </c>
      <c r="AI14" s="1198">
        <f t="shared" si="2"/>
        <v>0</v>
      </c>
      <c r="AJ14" s="1198">
        <f t="shared" si="2"/>
        <v>0</v>
      </c>
      <c r="AK14" s="1198">
        <f t="shared" si="2"/>
        <v>0</v>
      </c>
      <c r="AL14" s="1198">
        <f t="shared" si="2"/>
        <v>0</v>
      </c>
      <c r="AM14" s="1198">
        <f t="shared" si="2"/>
        <v>623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136</v>
      </c>
      <c r="BD14" s="1198">
        <f t="shared" si="2"/>
        <v>216</v>
      </c>
      <c r="BE14" s="1198">
        <f t="shared" si="2"/>
        <v>0</v>
      </c>
      <c r="BF14" s="1198">
        <f t="shared" si="2"/>
        <v>0</v>
      </c>
      <c r="BG14" s="1198">
        <f>IF(ISNUMBER(Datos!K14/Datos!J14),Datos!K14/Datos!J14," - ")</f>
        <v>0.85251798561151082</v>
      </c>
      <c r="BH14" s="1202">
        <f>IF(ISNUMBER(((Datos!L14/Datos!K14)*11)/factor_trimestre),((Datos!L14/Datos!K14)*11)/factor_trimestre," - ")</f>
        <v>11.139240506329115</v>
      </c>
      <c r="BI14" s="1198">
        <f>IF(ISNUMBER('Resol  Asuntos'!D14/NºAsuntos!G14),'Resol  Asuntos'!D14/NºAsuntos!G14," - ")</f>
        <v>0.25806451612903225</v>
      </c>
      <c r="BJ14" s="1198" t="str">
        <f>IF(ISNUMBER(Datos!CI14/Datos!CJ14),Datos!CI14/Datos!CJ14," - ")</f>
        <v xml:space="preserve"> - </v>
      </c>
      <c r="BK14" s="1198">
        <f>SUBTOTAL(9,BK8:BK13)</f>
        <v>0</v>
      </c>
      <c r="BL14" s="1198" t="str">
        <f>IF(ISNUMBER((I14-AB14+L14)/(F14)),(I14-AB14+L14)/(F14)," - ")</f>
        <v xml:space="preserve"> - </v>
      </c>
      <c r="BM14" s="1203">
        <f>SUBTOTAL(9,BM9:BM13)</f>
        <v>-9.7101449275362323E-2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298</v>
      </c>
      <c r="G17" s="743">
        <f>IF(ISNUMBER(IF(D_I="SI",Datos!I17,Datos!I17+Datos!AC17)),IF(D_I="SI",Datos!I17,Datos!I17+Datos!AC17)," - ")</f>
        <v>291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691</v>
      </c>
      <c r="AC17" s="240">
        <f>IF(ISNUMBER(Datos!Q17),Datos!Q17," - ")</f>
        <v>17</v>
      </c>
      <c r="AD17" s="374"/>
      <c r="AE17" s="562"/>
      <c r="AF17" s="741">
        <f>IF(ISNUMBER(IF(D_I="SI",Datos!L17,Datos!L17+Datos!AF17)),IF(D_I="SI",Datos!L17,Datos!L17+Datos!AF17)," - ")</f>
        <v>406</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90</v>
      </c>
      <c r="BD17" s="243">
        <f>IF(ISNUMBER(Datos!N17),Datos!N17," - ")</f>
        <v>398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0.8648310387984981</v>
      </c>
      <c r="BH17" s="764">
        <f>IF(ISNUMBER(((IF(D_I="SI",Datos!L17/Datos!K17,(Datos!L17+Datos!AF17)/(Datos!K17+Datos!AE17)))*11)/factor_trimestre),((IF(D_I="SI",Datos!L17/Datos!K17,(Datos!L17+Datos!AF17)/(Datos!K17+Datos!AE17)))*11)/factor_trimestre," - ")</f>
        <v>6.4630969609261939</v>
      </c>
      <c r="BI17" s="266">
        <f>IF(ISNUMBER('Resol  Asuntos'!D17/NºAsuntos!G17),'Resol  Asuntos'!D17/NºAsuntos!G17," - ")</f>
        <v>0.13024602026049203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1</v>
      </c>
      <c r="AD18" s="549"/>
      <c r="AE18" s="562"/>
      <c r="AF18" s="551">
        <f>IF(ISNUMBER(Datos!L18),Datos!L18,"-")</f>
        <v>39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0.74242424242424243</v>
      </c>
      <c r="BH18" s="764">
        <f>IF(ISNUMBER(((IF(D_I="SI",Datos!L18/Datos!K18,(Datos!L18+Datos!AF18)/(Datos!K18+Datos!AE18)))*11)/factor_trimestre),((IF(D_I="SI",Datos!L18/Datos!K18,(Datos!L18+Datos!AF18)/(Datos!K18+Datos!AE18)))*11)/factor_trimestre," - ")</f>
        <v>8.7551020408163271</v>
      </c>
      <c r="BI18" s="763">
        <f>IF(ISNUMBER('Resol  Asuntos'!D18/NºAsuntos!G18),'Resol  Asuntos'!D18/NºAsuntos!G18," - ")</f>
        <v>8.1632653061224483E-2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298</v>
      </c>
      <c r="G23" s="1197">
        <f>SUBTOTAL(9,G16:G22)</f>
        <v>313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740</v>
      </c>
      <c r="AC23" s="1198">
        <f t="shared" si="5"/>
        <v>18</v>
      </c>
      <c r="AD23" s="1198">
        <f t="shared" si="5"/>
        <v>0</v>
      </c>
      <c r="AE23" s="1198">
        <f t="shared" si="5"/>
        <v>0</v>
      </c>
      <c r="AF23" s="1198">
        <f t="shared" si="5"/>
        <v>445</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v>
      </c>
      <c r="BD23" s="1198">
        <f t="shared" si="5"/>
        <v>445</v>
      </c>
      <c r="BE23" s="1198">
        <f t="shared" si="5"/>
        <v>0</v>
      </c>
      <c r="BF23" s="1198">
        <f t="shared" si="5"/>
        <v>0</v>
      </c>
      <c r="BG23" s="1198">
        <f>IF(ISNUMBER(Datos!K23/Datos!J23),Datos!K23/Datos!J23," - ")</f>
        <v>0.8554913294797688</v>
      </c>
      <c r="BH23" s="1202">
        <f>IF(ISNUMBER(((Datos!L23/Datos!K23)*11)/factor_trimestre),((Datos!L23/Datos!K23)*11)/factor_trimestre," - ")</f>
        <v>6.6148648648648649</v>
      </c>
      <c r="BI23" s="1198">
        <f>SUBTOTAL(9,BI16:BI22)</f>
        <v>0.2118786733217165</v>
      </c>
      <c r="BJ23" s="1198">
        <f>SUBTOTAL(9,BJ16:BJ22)</f>
        <v>0</v>
      </c>
      <c r="BK23" s="1198">
        <f>SUBTOTAL(9,BK16:BK22)</f>
        <v>0</v>
      </c>
      <c r="BL23" s="1198">
        <f>IF(ISNUMBER((I23-AB23+L23)/(F23)),(I23-AB23+L23)/(F23)," - ")</f>
        <v>-2.4832214765100673</v>
      </c>
      <c r="BM23" s="1205">
        <f>IF(ISNUMBER((Datos!P23-Datos!Q23)/(Datos!R23-Datos!P23+Datos!Q23)),(Datos!P23-Datos!Q23)/(Datos!R23-Datos!P23+Datos!Q23)," - ")</f>
        <v>0.31578947368421051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298</v>
      </c>
      <c r="G31" s="1117">
        <f t="shared" si="18"/>
        <v>313</v>
      </c>
      <c r="H31" s="1119">
        <f t="shared" si="18"/>
        <v>0</v>
      </c>
      <c r="I31" s="1117">
        <f t="shared" si="18"/>
        <v>0</v>
      </c>
      <c r="J31" s="1119">
        <f t="shared" si="18"/>
        <v>0</v>
      </c>
      <c r="K31" s="1119">
        <f t="shared" si="18"/>
        <v>0</v>
      </c>
      <c r="L31" s="1180">
        <f t="shared" si="18"/>
        <v>0</v>
      </c>
      <c r="M31" s="1180">
        <f t="shared" si="18"/>
        <v>0</v>
      </c>
      <c r="N31" s="1180">
        <f t="shared" si="18"/>
        <v>55</v>
      </c>
      <c r="O31" s="1180">
        <f t="shared" si="18"/>
        <v>0</v>
      </c>
      <c r="P31" s="1180">
        <f t="shared" si="18"/>
        <v>0</v>
      </c>
      <c r="Q31" s="1119">
        <f t="shared" si="18"/>
        <v>185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741</v>
      </c>
      <c r="AC31" s="1118">
        <f t="shared" si="19"/>
        <v>246</v>
      </c>
      <c r="AD31" s="1118">
        <f t="shared" si="19"/>
        <v>0</v>
      </c>
      <c r="AE31" s="1118">
        <f t="shared" si="19"/>
        <v>0</v>
      </c>
      <c r="AF31" s="1125">
        <f t="shared" si="19"/>
        <v>451</v>
      </c>
      <c r="AG31" s="1125">
        <f t="shared" si="19"/>
        <v>0</v>
      </c>
      <c r="AH31" s="1125">
        <f t="shared" si="19"/>
        <v>12</v>
      </c>
      <c r="AI31" s="1125">
        <f t="shared" si="19"/>
        <v>0</v>
      </c>
      <c r="AJ31" s="1118">
        <f t="shared" si="19"/>
        <v>0</v>
      </c>
      <c r="AK31" s="1125">
        <f t="shared" si="19"/>
        <v>0</v>
      </c>
      <c r="AL31" s="1125">
        <f t="shared" si="19"/>
        <v>0</v>
      </c>
      <c r="AM31" s="1125">
        <f t="shared" si="19"/>
        <v>648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230</v>
      </c>
      <c r="BD31" s="1117">
        <f t="shared" si="19"/>
        <v>661</v>
      </c>
      <c r="BE31" s="1117">
        <f t="shared" si="19"/>
        <v>0</v>
      </c>
      <c r="BF31" s="1127">
        <f t="shared" si="19"/>
        <v>0</v>
      </c>
      <c r="BG31" s="1223">
        <f>IF(ISNUMBER(Datos!K31/Datos!J31),Datos!K31/Datos!J31," - ")</f>
        <v>0.85432793807178042</v>
      </c>
      <c r="BH31" s="1223">
        <f>IF(ISNUMBER(((Datos!L31/Datos!K31)*11)/factor_trimestre),((Datos!L31/Datos!K31)*11)/factor_trimestre," - ")</f>
        <v>8.3813838550247119</v>
      </c>
      <c r="BI31" s="1103">
        <f>IF(ISNUMBER(Datos!J31/Datos!I31),Datos!J31/Datos!I31," - ")</f>
        <v>2.0042313117066293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-2.4865771812080535</v>
      </c>
      <c r="BM31" s="1188">
        <f>IF(ISNUMBER((Datos!P31-Datos!Q31+R31)/(Datos!R31-Datos!P31+Datos!Q31-R31)),(Datos!P31-Datos!Q31+R31)/(Datos!R31-Datos!P31+Datos!Q31-R31)," - ")</f>
        <v>-8.6036671368124124E-2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153.88653828930805</v>
      </c>
      <c r="G33" s="674">
        <f>IF(ISNUMBER(STDEV(G8:G30)),STDEV(G8:G30),"-")</f>
        <v>145.57455952518757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344.89694803216912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62.671479045210717</v>
      </c>
      <c r="BD33" s="673"/>
      <c r="BE33" s="673">
        <f>IF(ISNUMBER(STDEV(BE8:BE30)),STDEV(BE8:BE30),"-")</f>
        <v>0</v>
      </c>
      <c r="BF33" s="678">
        <f>IF(ISNUMBER(STDEV(BF8:BF30)),STDEV(BF8:BF30),"-")</f>
        <v>0</v>
      </c>
      <c r="BG33" s="1052">
        <f>IF(ISNUMBER(STDEV(BG8:BG30)),STDEV(BG8:BG30),"-")</f>
        <v>0.28748469251969294</v>
      </c>
      <c r="BH33" s="1058">
        <f>IF(ISNUMBER(STDEV(BH8:BH30)),STDEV(BH8:BH30),"-")</f>
        <v>23.496618254781904</v>
      </c>
      <c r="BI33" s="273">
        <f>IF(ISNUMBER(STDEV(BI8:BI30)),STDEV(BI8:BI30),"-")</f>
        <v>7.9367330378782297E-2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fHGaj0RF03+31eIo4BcnnJXQb4QMvi4FNRcoflWuAIEdgXOrM7/kSbw6bdrNn5VIZ8ytTYnxM4TIF8f07IjJJw==" saltValue="dq1Nq+BDd8Jj6pUJddOJ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TARAZONA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228</v>
      </c>
      <c r="AA12" s="551" t="str">
        <f>IF(ISNUMBER(IF(J_V="SI",Datos!L12,Datos!L12+Datos!AB12)-IF(Monitorios="SI",Datos!CD12,0)),
                          IF(J_V="SI",Datos!L12,Datos!L12+Datos!AB12)-IF(Monitorios="SI",Datos!CD12,0),
                          " - ")</f>
        <v xml:space="preserve"> - </v>
      </c>
      <c r="AB12" s="549"/>
      <c r="AC12" s="549"/>
      <c r="AD12" s="563"/>
      <c r="AE12" s="563">
        <f>IF(ISNUMBER(Datos!R12),Datos!R12," - ")</f>
        <v>623</v>
      </c>
      <c r="AF12" s="693" t="str">
        <f>IF(ISNUMBER(Datos!BV12),Datos!BV12," - ")</f>
        <v xml:space="preserve"> - </v>
      </c>
      <c r="AG12" s="552" t="str">
        <f>IF(ISNUMBER(Datos!DV12),Datos!DV12," - ")</f>
        <v xml:space="preserve"> - </v>
      </c>
      <c r="AH12" s="553"/>
      <c r="AI12" s="554"/>
      <c r="AJ12" s="552">
        <f>IF(ISNUMBER(Datos!M12),Datos!M12," - ")</f>
        <v>136</v>
      </c>
      <c r="AK12" s="693">
        <f>IF(ISNUMBER(Datos!N12),Datos!N12," - ")</f>
        <v>215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10.163498098859316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-9.7101449275362323E-2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228</v>
      </c>
      <c r="AA14" s="1199">
        <f t="shared" si="3"/>
        <v>6</v>
      </c>
      <c r="AB14" s="1199">
        <f t="shared" si="3"/>
        <v>0</v>
      </c>
      <c r="AC14" s="1199">
        <f t="shared" si="3"/>
        <v>0</v>
      </c>
      <c r="AD14" s="1199">
        <f t="shared" si="3"/>
        <v>0</v>
      </c>
      <c r="AE14" s="1199">
        <f t="shared" si="3"/>
        <v>623</v>
      </c>
      <c r="AF14" s="1211">
        <f t="shared" si="3"/>
        <v>0</v>
      </c>
      <c r="AG14" s="1211">
        <f t="shared" si="3"/>
        <v>0</v>
      </c>
      <c r="AH14" s="1211">
        <f t="shared" si="3"/>
        <v>0</v>
      </c>
      <c r="AI14" s="1211">
        <f t="shared" si="3"/>
        <v>0</v>
      </c>
      <c r="AJ14" s="1211">
        <f t="shared" si="3"/>
        <v>136</v>
      </c>
      <c r="AK14" s="1211">
        <f t="shared" si="3"/>
        <v>216</v>
      </c>
      <c r="AL14" s="1211">
        <f t="shared" si="3"/>
        <v>0</v>
      </c>
      <c r="AM14" s="1211">
        <f t="shared" si="3"/>
        <v>0</v>
      </c>
      <c r="AN14" s="1211">
        <f t="shared" si="3"/>
        <v>0</v>
      </c>
      <c r="AO14" s="1203">
        <f>IF(ISNUMBER(((NºAsuntos!I14/NºAsuntos!G14)*11)/factor_trimestre),((NºAsuntos!I14/NºAsuntos!G14)*11)/factor_trimestre," - ")</f>
        <v>10.269449715370019</v>
      </c>
      <c r="AP14" s="1213" t="str">
        <f>IF(ISNUMBER(Datos!CI14/Datos!CJ14),Datos!CI14/Datos!CJ14," - ")</f>
        <v xml:space="preserve"> - </v>
      </c>
      <c r="AQ14" s="1236">
        <f t="shared" ref="AQ14:AV14" si="4">SUBTOTAL(9,AQ9:AQ13)</f>
        <v>0</v>
      </c>
      <c r="AR14" s="1236">
        <f t="shared" si="4"/>
        <v>-9.7101449275362323E-2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298</v>
      </c>
      <c r="G17" s="552">
        <f>IF(ISNUMBER(IF(D_I="SI",Datos!I17,Datos!I17+Datos!AC17)),IF(D_I="SI",Datos!I17,Datos!I17+Datos!AC17)," - ")</f>
        <v>291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691</v>
      </c>
      <c r="Z17" s="805">
        <f>IF(ISNUMBER(Datos!Q17),Datos!Q17," - ")</f>
        <v>17</v>
      </c>
      <c r="AA17" s="551">
        <f>IF(ISNUMBER(IF(D_I="SI",Datos!L17,Datos!L17+Datos!AF17)),IF(D_I="SI",Datos!L17,Datos!L17+Datos!AF17)," - ")</f>
        <v>406</v>
      </c>
      <c r="AB17" s="549"/>
      <c r="AC17" s="549"/>
      <c r="AD17" s="563"/>
      <c r="AE17" s="563">
        <f>IF(ISNUMBER(Datos!R17),Datos!R17," - ")</f>
        <v>25</v>
      </c>
      <c r="AF17" s="693" t="str">
        <f>IF(ISNUMBER(Datos!BV17),Datos!BV17," - ")</f>
        <v xml:space="preserve"> - </v>
      </c>
      <c r="AG17" s="552"/>
      <c r="AH17" s="553"/>
      <c r="AI17" s="554"/>
      <c r="AJ17" s="552">
        <f>IF(ISNUMBER(Datos!M17),Datos!M17," - ")</f>
        <v>90</v>
      </c>
      <c r="AK17" s="693">
        <f>IF(ISNUMBER(Datos!N17),Datos!N17," - ")</f>
        <v>398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6.4630969609261939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1</v>
      </c>
      <c r="AA18" s="551">
        <f>IF(ISNUMBER(Datos!L18),Datos!L18,"-")</f>
        <v>39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8.7551020408163271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298</v>
      </c>
      <c r="G23" s="1197">
        <f>SUBTOTAL(9,G16:G22)</f>
        <v>313</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740</v>
      </c>
      <c r="Z23" s="1240">
        <f t="shared" si="6"/>
        <v>18</v>
      </c>
      <c r="AA23" s="1240">
        <f t="shared" si="6"/>
        <v>445</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94</v>
      </c>
      <c r="AK23" s="1240">
        <f t="shared" si="6"/>
        <v>445</v>
      </c>
      <c r="AL23" s="1240">
        <f t="shared" si="6"/>
        <v>0</v>
      </c>
      <c r="AM23" s="1240">
        <f t="shared" si="6"/>
        <v>0</v>
      </c>
      <c r="AN23" s="1240">
        <f t="shared" si="6"/>
        <v>0</v>
      </c>
      <c r="AO23" s="1242">
        <f>IF(ISNUMBER(((NºAsuntos!I23/NºAsuntos!G23)*11)/factor_trimestre),((NºAsuntos!I23/NºAsuntos!G23)*11)/factor_trimestre," - ")</f>
        <v>6.6148648648648649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298</v>
      </c>
      <c r="G31" s="1117">
        <f t="shared" si="12"/>
        <v>313</v>
      </c>
      <c r="H31" s="1118">
        <f t="shared" si="12"/>
        <v>0</v>
      </c>
      <c r="I31" s="1117">
        <f t="shared" si="12"/>
        <v>0</v>
      </c>
      <c r="J31" s="1119">
        <f t="shared" si="12"/>
        <v>0</v>
      </c>
      <c r="K31" s="1117">
        <f t="shared" si="12"/>
        <v>0</v>
      </c>
      <c r="L31" s="1120">
        <f t="shared" si="12"/>
        <v>0</v>
      </c>
      <c r="M31" s="1117">
        <f t="shared" si="12"/>
        <v>0</v>
      </c>
      <c r="N31" s="1118">
        <f t="shared" si="12"/>
        <v>185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741</v>
      </c>
      <c r="Z31" s="1124">
        <f t="shared" si="13"/>
        <v>246</v>
      </c>
      <c r="AA31" s="1125">
        <f t="shared" si="13"/>
        <v>451</v>
      </c>
      <c r="AB31" s="1125">
        <f t="shared" si="13"/>
        <v>0</v>
      </c>
      <c r="AC31" s="1125">
        <f t="shared" si="13"/>
        <v>0</v>
      </c>
      <c r="AD31" s="1126">
        <f t="shared" si="13"/>
        <v>0</v>
      </c>
      <c r="AE31" s="1126">
        <f t="shared" si="13"/>
        <v>648</v>
      </c>
      <c r="AF31" s="1127">
        <f t="shared" si="13"/>
        <v>0</v>
      </c>
      <c r="AG31" s="1128">
        <f t="shared" si="13"/>
        <v>0</v>
      </c>
      <c r="AH31" s="1129">
        <f t="shared" si="13"/>
        <v>0</v>
      </c>
      <c r="AI31" s="1127">
        <f t="shared" si="13"/>
        <v>0</v>
      </c>
      <c r="AJ31" s="1117">
        <f t="shared" si="13"/>
        <v>230</v>
      </c>
      <c r="AK31" s="1117">
        <f t="shared" si="13"/>
        <v>661</v>
      </c>
      <c r="AL31" s="1117">
        <f t="shared" si="13"/>
        <v>0</v>
      </c>
      <c r="AM31" s="1130">
        <f t="shared" si="13"/>
        <v>0</v>
      </c>
      <c r="AN31" s="1120">
        <f>IF(ISNUMBER(Datos!K31/Datos!J31),Datos!K31/Datos!J31," - ")</f>
        <v>0.85432793807178042</v>
      </c>
      <c r="AO31" s="1120">
        <f>IF(ISNUMBER(FIND("06",Criterios!A8,1)),(IF(ISNUMBER(((Datos!R31/Datos!Q31)*11)/factor_trimestre),((Datos!R31/Datos!Q31)*11)/factor_trimestre," - ")),(IF(ISNUMBER(((Datos!L31/Datos!K31)*11)/factor_trimestre),((Datos!L31/Datos!K31)*11)/factor_trimestre," - ")))</f>
        <v>8.3813838550247119</v>
      </c>
      <c r="AP31" s="1131" t="str">
        <f>IF(ISNUMBER(Datos!CI31/Datos!CJ31),Datos!CI31/Datos!CJ31," - ")</f>
        <v xml:space="preserve"> - </v>
      </c>
      <c r="AQ31" s="1131">
        <f>IF(OR(ISNUMBER(FIND("01",Criterios!A8,1)),ISNUMBER(FIND("02",Criterios!A8,1)),ISNUMBER(FIND("03",Criterios!A8,1)),ISNUMBER(FIND("04",Criterios!A8,1))),(J31-Y31+K31)/(F31-K31),(I31-Y31+K31)/(F31-K31))</f>
        <v>-2.4865771812080535</v>
      </c>
      <c r="AR31" s="1131">
        <f>IF(ISNUMBER((Datos!P31-Datos!Q31+O31)/(Datos!R31-Datos!P31+Datos!Q31-O31)),(Datos!P31-Datos!Q31+O31)/(Datos!R31-Datos!P31+Datos!Q31-O31)," - ")</f>
        <v>-8.6036671368124124E-2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153.88653828930805</v>
      </c>
      <c r="G33" s="674">
        <f>IF(ISNUMBER(STDEV(G8:G30)),STDEV(G8:G30),"-")</f>
        <v>145.57455952518757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62.671479045210717</v>
      </c>
      <c r="AK33" s="276"/>
      <c r="AL33" s="276">
        <f>IF(ISNUMBER(STDEV(AL8:AL30)),STDEV(AL8:AL30),"-")</f>
        <v>0</v>
      </c>
      <c r="AM33" s="278">
        <f>IF(ISNUMBER(STDEV(AM8:AM30)),STDEV(AM8:AM30),"-")</f>
        <v>0</v>
      </c>
      <c r="AN33" s="660">
        <f>IF(ISNUMBER(STDEV(AN8:AN30)),STDEV(AN8:AN30),"-")</f>
        <v>0</v>
      </c>
      <c r="AO33" s="661">
        <f>IF(ISNUMBER(STDEV(AO8:AO30)),STDEV(AO8:AO30),"-")</f>
        <v>23.551432857053015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tcVRhQMowTZyziymz1s0yqbVJ9SKmUJx9v2XKkFBQWhVwGOue75toDL6WVmNW2RgIc7hps17p8lL8hmyDCYMA==" saltValue="g8NTgRd2iUBNYqR1tzFw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ehn+0KU3rJ+PhdqjBJlWbcLdPNgzOQjvjC/YYi1EqKER7f16k2D3FMHC4vdXz4FappR0bTIOY09R72ZzpL0nQ==" saltValue="+U87UCNnj6JeLVK8F12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CIadezFK6XQOMcQf3QxA/xH4ZanNZiksrcVfaZ1Zwy5hdJyW8FHiL5TJ0ZSPT/zlNQflfAuTo/FAK+8Feg0Tg==" saltValue="qFNXdpIJOm/pV1WkUvi1y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TARAZONA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0.25806451612903225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0.18247916933846386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uH6VEgh0IsqAUDjgHI7IE9VHqZKA3sPi1K7jQ9DBIVEOlpYHASVOWGbdAWbE2QXhr1q/FO3JCr/gUlxdoKo51w==" saltValue="t7qHm9MH+/1yALGg9GNu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Auew5/T+9bw8HmGk7MJvTTvZRzLIV0GreTM2eof7S5MUWSDSsyFNw078XMM9kwKuZi5QIZy6Oihl2ECXV1GPg==" saltValue="+L8ScpoN6XNJqEFRQqST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TARAZONA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7</v>
      </c>
      <c r="F10" s="452">
        <f>IF(ISNUMBER(E10/B10),E10/B10," - ")</f>
        <v>7</v>
      </c>
      <c r="G10" s="451">
        <f>IF(ISNUMBER(Datos!K10),Datos!K10," - ")</f>
        <v>1</v>
      </c>
      <c r="H10" s="452">
        <f>IF(ISNUMBER(G10/B10),G10/B10," - ")</f>
        <v>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418</v>
      </c>
      <c r="D12" s="452">
        <f>IF(ISNUMBER(C12/Datos!BH12),C12/Datos!BH12," - ")</f>
        <v>418</v>
      </c>
      <c r="E12" s="451">
        <f>IF(ISNUMBER(IF(J_V="SI",Datos!J12,Datos!J12+Datos!Z12)),IF(J_V="SI",Datos!J12,Datos!J12+Datos!Z12)," - ")</f>
        <v>604</v>
      </c>
      <c r="F12" s="452">
        <f>IF(ISNUMBER(E12/B12),E12/B12," - ")</f>
        <v>604</v>
      </c>
      <c r="G12" s="451">
        <f>IF(ISNUMBER(IF(J_V="SI",Datos!K12,Datos!K12+Datos!AA12)),IF(J_V="SI",Datos!K12,Datos!K12+Datos!AA12)," - ")</f>
        <v>526</v>
      </c>
      <c r="H12" s="452">
        <f>IF(ISNUMBER(G12/B12),G12/B12," - ")</f>
        <v>526</v>
      </c>
      <c r="I12" s="451">
        <f>IF(ISNUMBER(IF(J_V="SI",Datos!L12,Datos!L12+Datos!AB12)),IF(J_V="SI",Datos!L12,Datos!L12+Datos!AB12)," - ")</f>
        <v>486</v>
      </c>
      <c r="J12" s="452">
        <f>IF(ISNUMBER(I12/B12),I12/B12," - ")</f>
        <v>486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418</v>
      </c>
      <c r="D14" s="1147" t="str">
        <f>IF(ISNUMBER(C14/Datos!BI14),C14/Datos!BI14," - ")</f>
        <v xml:space="preserve"> - </v>
      </c>
      <c r="E14" s="1146">
        <f>SUBTOTAL(9,E8:E13)</f>
        <v>611</v>
      </c>
      <c r="F14" s="1147">
        <f>IF(ISNUMBER(E14/B14),E14/B14," - ")</f>
        <v>611</v>
      </c>
      <c r="G14" s="1146">
        <f>SUBTOTAL(9,G8:G13)</f>
        <v>527</v>
      </c>
      <c r="H14" s="1147">
        <f>IF(ISNUMBER(G14/B14),G14/B14," - ")</f>
        <v>527</v>
      </c>
      <c r="I14" s="1146">
        <f>SUBTOTAL(9,I8:I13)</f>
        <v>492</v>
      </c>
      <c r="J14" s="1147">
        <f>IF(ISNUMBER(I14/B14),I14/B14," - ")</f>
        <v>492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291</v>
      </c>
      <c r="D17" s="452">
        <f>IF(ISNUMBER(C17/Datos!BH17),C17/Datos!BH17," - ")</f>
        <v>291</v>
      </c>
      <c r="E17" s="451">
        <f>IF(ISNUMBER(IF(D_I="SI",Datos!J17,Datos!J17+Datos!AD17)),IF(D_I="SI",Datos!J17,Datos!J17+Datos!AD17)," - ")</f>
        <v>799</v>
      </c>
      <c r="F17" s="452">
        <f>IF(ISNUMBER(E17/B17),E17/B17," - ")</f>
        <v>799</v>
      </c>
      <c r="G17" s="451">
        <f>IF(ISNUMBER(IF(D_I="SI",Datos!K17,Datos!K17+Datos!AE17)),IF(D_I="SI",Datos!K17,Datos!K17+Datos!AE17)," - ")</f>
        <v>691</v>
      </c>
      <c r="H17" s="452">
        <f>IF(ISNUMBER(G17/B17),G17/B17," - ")</f>
        <v>691</v>
      </c>
      <c r="I17" s="451">
        <f>IF(ISNUMBER(IF(D_I="SI",Datos!L17,Datos!L17+Datos!AF17)),IF(D_I="SI",Datos!L17,Datos!L17+Datos!AF17)," - ")</f>
        <v>406</v>
      </c>
      <c r="J17" s="452">
        <f>IF(ISNUMBER(I17/B17),I17/B17," - ")</f>
        <v>406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66</v>
      </c>
      <c r="F18" s="452">
        <f>IF(ISNUMBER(E18/B18),E18/B18," - ")</f>
        <v>66</v>
      </c>
      <c r="G18" s="451">
        <f>IF(ISNUMBER(IF(D_I="SI",Datos!K18,Datos!K18+Datos!AE18)),IF(D_I="SI",Datos!K18,Datos!K18+Datos!AE18)," - ")</f>
        <v>49</v>
      </c>
      <c r="H18" s="452">
        <f>IF(ISNUMBER(G18/B18),G18/B18," - ")</f>
        <v>49</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313</v>
      </c>
      <c r="D23" s="1147" t="str">
        <f>IF(ISNUMBER(C23/Datos!BI23),C23/Datos!BI23," - ")</f>
        <v xml:space="preserve"> - </v>
      </c>
      <c r="E23" s="1146">
        <f>SUBTOTAL(9,E15:E22)</f>
        <v>865</v>
      </c>
      <c r="F23" s="1147">
        <f>IF(ISNUMBER(E23/B23),E23/B23," - ")</f>
        <v>865</v>
      </c>
      <c r="G23" s="1146">
        <f>SUBTOTAL(9,G15:G22)</f>
        <v>740</v>
      </c>
      <c r="H23" s="1147">
        <f>IF(ISNUMBER(G23/B23),G23/B23," - ")</f>
        <v>740</v>
      </c>
      <c r="I23" s="1146">
        <f>SUBTOTAL(9,I15:I22)</f>
        <v>445</v>
      </c>
      <c r="J23" s="1147">
        <f>IF(ISNUMBER(I23/B23),I23/B23," - ")</f>
        <v>445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731</v>
      </c>
      <c r="D31" s="1085" t="str">
        <f>IF(ISNUMBER(C31/Datos!BI31),C31/Datos!BI31," - ")</f>
        <v xml:space="preserve"> - </v>
      </c>
      <c r="E31" s="1084">
        <f>SUBTOTAL(9,E9:E30)</f>
        <v>1476</v>
      </c>
      <c r="F31" s="1085">
        <f>IF(ISNUMBER(E31/B31),E31/B31," - ")</f>
        <v>1476</v>
      </c>
      <c r="G31" s="1084">
        <f>SUBTOTAL(9,G9:G30)</f>
        <v>1267</v>
      </c>
      <c r="H31" s="1085">
        <f>IF(ISNUMBER(G31/B31),G31/B31," - ")</f>
        <v>1267</v>
      </c>
      <c r="I31" s="1084">
        <f>SUBTOTAL(9,I9:I30)</f>
        <v>937</v>
      </c>
      <c r="J31" s="1085">
        <f>IF(ISNUMBER(I31/B31),I31/B31," - ")</f>
        <v>937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G8LkvgqSW0SMQmUfNpQO7aTmNiliUiAqboeuPNc/43zpu1oCMoSnw1fIE0Xi4nnL1f8sbAoGQvKZaXstT3LbKA==" saltValue="WGp3EnCfGp4SP/gErF60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TARAZONA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136</v>
      </c>
      <c r="AM12" s="914">
        <f>IF(ISNUMBER(Datos!N12+DatosP!N17),Datos!N12+DatosP!N17," - ")</f>
        <v>215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10.163498098859316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-9.7101449275362323E-2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228</v>
      </c>
      <c r="AE14" s="1257">
        <f t="shared" si="1"/>
        <v>0</v>
      </c>
      <c r="AF14" s="1257">
        <f t="shared" si="1"/>
        <v>6</v>
      </c>
      <c r="AG14" s="1257">
        <f t="shared" si="1"/>
        <v>0</v>
      </c>
      <c r="AH14" s="1257">
        <f t="shared" si="1"/>
        <v>623</v>
      </c>
      <c r="AI14" s="1257">
        <f t="shared" si="1"/>
        <v>0</v>
      </c>
      <c r="AJ14" s="1257">
        <f t="shared" si="1"/>
        <v>0</v>
      </c>
      <c r="AK14" s="1257">
        <f t="shared" si="1"/>
        <v>0</v>
      </c>
      <c r="AL14" s="1257">
        <f t="shared" si="1"/>
        <v>136</v>
      </c>
      <c r="AM14" s="1257">
        <f t="shared" si="1"/>
        <v>216</v>
      </c>
      <c r="AN14" s="1257">
        <f t="shared" si="1"/>
        <v>0</v>
      </c>
      <c r="AO14" s="1257">
        <f t="shared" si="1"/>
        <v>0</v>
      </c>
      <c r="AP14" s="1262">
        <f>IF(ISNUMBER(((Datos!L14/Datos!K14)*11)/factor_trimestre),((Datos!L14/Datos!K14)*11)/factor_trimestre," - ")</f>
        <v>11.139240506329115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-9.7101449275362323E-2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6.6148648648648649</v>
      </c>
      <c r="AQ23" s="1262">
        <f>IF(ISNUMBER(((Datos!M23/Datos!L23)*11)/factor_trimestre),((Datos!M23/Datos!L23)*11)/factor_trimestre," - ")</f>
        <v>2.3235955056179778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0.31578947368421051</v>
      </c>
      <c r="AW23" s="1265">
        <f>IF(ISNUMBER((Datos!Q23-Datos!R23)/(Datos!S23-Datos!Q23+Datos!R23)),(Datos!Q23-Datos!R23)/(Datos!S23-Datos!Q23+Datos!R23)," - ")</f>
        <v>-2.3569023569023569E-2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228</v>
      </c>
      <c r="AE31" s="1284">
        <f t="shared" si="9"/>
        <v>0</v>
      </c>
      <c r="AF31" s="1285">
        <f t="shared" si="9"/>
        <v>6</v>
      </c>
      <c r="AG31" s="1285">
        <f t="shared" si="9"/>
        <v>0</v>
      </c>
      <c r="AH31" s="1285">
        <f t="shared" si="9"/>
        <v>623</v>
      </c>
      <c r="AI31" s="1285">
        <f t="shared" si="9"/>
        <v>0</v>
      </c>
      <c r="AJ31" s="1286">
        <f t="shared" si="9"/>
        <v>0</v>
      </c>
      <c r="AK31" s="1286">
        <f t="shared" si="9"/>
        <v>0</v>
      </c>
      <c r="AL31" s="1278">
        <f t="shared" si="9"/>
        <v>136</v>
      </c>
      <c r="AM31" s="1278">
        <f t="shared" si="9"/>
        <v>216</v>
      </c>
      <c r="AN31" s="1278">
        <f t="shared" si="9"/>
        <v>0</v>
      </c>
      <c r="AO31" s="1278">
        <f t="shared" si="9"/>
        <v>0</v>
      </c>
      <c r="AP31" s="1278">
        <f>IF(ISNUMBER(((Datos!L31/Datos!K31)*11)/factor_trimestre),((Datos!L31/Datos!K31)*11)/factor_trimestre," - ")</f>
        <v>8.3813838550247119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-8.6036671368124124E-2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70.230098011227824</v>
      </c>
      <c r="AM33" s="1006"/>
      <c r="AN33" s="1006">
        <f>IF(ISNUMBER(STDEV(AN8:AN30)),STDEV(AN8:AN30),"-")</f>
        <v>0</v>
      </c>
      <c r="AO33" s="1012">
        <f>IF(ISNUMBER(STDEV(AO8:AO30)),STDEV(AO8:AO30),"-")</f>
        <v>0</v>
      </c>
      <c r="AP33" s="1065">
        <f>IF(ISNUMBER(STDEV(AP8:AP30)),STDEV(AP8:AP30),"-")</f>
        <v>28.41365135197189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2ugbHUCrRi0EF85mi9V6/SzpBBmX33Tb+MvXfxwoRDc4q3G+KVwBK3GalURDJI5E/3v4YqXhsIk/YTzYYEtgg==" saltValue="OnrGaz6hlcj8j8jStu9z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TARAZONA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IfNlceODVNfe3374542TE/NHlB55BShOCknuelYORe65CytHAxi9rc2cLHOs3a0D68waAtTXNBcNKK0CwkS8ug==" saltValue="2wyDOs/ge5InzLZWDmiy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TARAZONA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136</v>
      </c>
      <c r="E12" s="452">
        <f t="shared" si="0"/>
        <v>136</v>
      </c>
      <c r="F12" s="451">
        <f>IF(ISNUMBER(Datos!N12),Datos!N12," - ")</f>
        <v>215</v>
      </c>
      <c r="G12" s="452">
        <f t="shared" si="1"/>
        <v>215</v>
      </c>
      <c r="H12" s="451">
        <f>IF(ISNUMBER(Datos!O12),Datos!O12," - ")</f>
        <v>298</v>
      </c>
      <c r="I12" s="452">
        <f t="shared" si="2"/>
        <v>298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136</v>
      </c>
      <c r="E14" s="1147">
        <f t="shared" si="0"/>
        <v>68</v>
      </c>
      <c r="F14" s="1146">
        <f>SUBTOTAL(9,F9:F13)</f>
        <v>216</v>
      </c>
      <c r="G14" s="1147">
        <f t="shared" si="1"/>
        <v>108</v>
      </c>
      <c r="H14" s="1146">
        <f>SUBTOTAL(9,H9:H13)</f>
        <v>298</v>
      </c>
      <c r="I14" s="1147">
        <f>IF(ISNUMBER(H14/B14),H14/B14," - ")</f>
        <v>149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90</v>
      </c>
      <c r="E17" s="452">
        <f t="shared" si="3"/>
        <v>90</v>
      </c>
      <c r="F17" s="451">
        <f>IF(ISNUMBER(Datos!N17),Datos!N17," - ")</f>
        <v>398</v>
      </c>
      <c r="G17" s="452">
        <f t="shared" si="4"/>
        <v>398</v>
      </c>
      <c r="H17" s="451">
        <f>IF(ISNUMBER(Datos!O17),Datos!O17," - ")</f>
        <v>2</v>
      </c>
      <c r="I17" s="452">
        <f t="shared" si="5"/>
        <v>2</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47</v>
      </c>
      <c r="G18" s="452">
        <f>IF(ISNUMBER(F18/B18),F18/B18," - ")</f>
        <v>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94</v>
      </c>
      <c r="E23" s="1147">
        <f t="shared" si="3"/>
        <v>47</v>
      </c>
      <c r="F23" s="1146">
        <f>SUBTOTAL(9,F16:F22)</f>
        <v>445</v>
      </c>
      <c r="G23" s="1147">
        <f t="shared" si="4"/>
        <v>222.5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230</v>
      </c>
      <c r="E31" s="1085">
        <f>IF(ISNUMBER(D31/B31),D31/B31," - ")</f>
        <v>230</v>
      </c>
      <c r="F31" s="1084">
        <f>SUBTOTAL(9,F8:F30)</f>
        <v>661</v>
      </c>
      <c r="G31" s="1085">
        <f>IF(ISNUMBER(F31/B31),F31/B31," - ")</f>
        <v>661</v>
      </c>
      <c r="H31" s="1084">
        <f>SUBTOTAL(9,H8:H30)</f>
        <v>300</v>
      </c>
      <c r="I31" s="1085">
        <f>IF(ISNUMBER(H31/B31),H31/B31," - ")</f>
        <v>300</v>
      </c>
    </row>
    <row r="34" spans="1:1">
      <c r="A34" s="439" t="str">
        <f>Criterios!A4</f>
        <v>Fecha Informe: 14 abr. 2023</v>
      </c>
    </row>
    <row r="39" spans="1:1">
      <c r="A39" s="462"/>
    </row>
  </sheetData>
  <sheetProtection algorithmName="SHA-512" hashValue="6M3UDKbOB6cH0dzXUL6WeAoQ3Ev0638XlouvOR0gQ9SKyZt1qo2TrhhTK4u5CSxXOlC7kiIklfIbndi43VdITg==" saltValue="tR3AVt7oV1ng4LR6RcAe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TARAZONA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161</v>
      </c>
      <c r="C12" s="489">
        <f>IF(ISNUMBER(Datos!Q12),Datos!Q12," - ")</f>
        <v>228</v>
      </c>
      <c r="D12" s="456">
        <f>IF(ISNUMBER(Datos!R12),Datos!R12," - ")</f>
        <v>623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161</v>
      </c>
      <c r="C14" s="1150">
        <f>SUBTOTAL(9,C9:C13)</f>
        <v>228</v>
      </c>
      <c r="D14" s="1148">
        <f>SUBTOTAL(9,D9:D13)</f>
        <v>623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17</v>
      </c>
      <c r="D17" s="456">
        <f>IF(ISNUMBER(Datos!R17),Datos!R17," - ")</f>
        <v>25</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18</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185</v>
      </c>
      <c r="C31" s="1089">
        <f>SUBTOTAL(9,C8:C30)</f>
        <v>246</v>
      </c>
      <c r="D31" s="1090">
        <f>SUBTOTAL(9,D8:D30)</f>
        <v>648</v>
      </c>
    </row>
    <row r="32" spans="1:4" ht="7.5" customHeight="1"/>
    <row r="33" spans="1:1" ht="6" customHeight="1"/>
    <row r="34" spans="1:1">
      <c r="A34" s="439" t="str">
        <f>Criterios!A4</f>
        <v>Fecha Informe: 14 abr. 2023</v>
      </c>
    </row>
    <row r="39" spans="1:1">
      <c r="A39" s="462"/>
    </row>
  </sheetData>
  <sheetProtection algorithmName="SHA-512" hashValue="EC7pjOOvh7QYUHtlCfgfIzSA1fm0msCSJ9heDRCHCtcXT/mlPZWX1HY/cTWXOxkyRoO7P9+wBolEnIB2LCNkwQ==" saltValue="aZB/CvPpRT8UFRQhSRUB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TARAZONA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6</v>
      </c>
      <c r="D10" s="515">
        <f>IF(ISNUMBER((Datos!K10-Datos!U10)/Datos!U10),(Datos!K10-Datos!U10)/Datos!U10," - ")</f>
        <v>0</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-0.85714285714285721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0.64566929133858264</v>
      </c>
      <c r="C12" s="515">
        <f>IF(ISNUMBER(
   IF(J_V="SI",(Datos!J12-Datos!T12)/Datos!T12,(Datos!J12+Datos!Z12-(Datos!T12+Datos!AH12))/(Datos!T12+Datos!AH12))
     ),IF(J_V="SI",(Datos!J12-Datos!T12)/Datos!T12,(Datos!J12+Datos!Z12-(Datos!T12+Datos!AH12))/(Datos!T12+Datos!AH12))," - ")</f>
        <v>-0.16343490304709141</v>
      </c>
      <c r="D12" s="515">
        <f>IF(ISNUMBER(
   IF(J_V="SI",(Datos!K12-Datos!U12)/Datos!U12,(Datos!K12+Datos!AA12-(Datos!U12+Datos!AI12))/(Datos!U12+Datos!AI12))
     ),IF(J_V="SI",(Datos!K12-Datos!U12)/Datos!U12,(Datos!K12+Datos!AA12-(Datos!U12+Datos!AI12))/(Datos!U12+Datos!AI12))," - ")</f>
        <v>-0.19694656488549619</v>
      </c>
      <c r="E12" s="515">
        <f>IF(ISNUMBER(
   IF(J_V="SI",(Datos!L12-Datos!V12)/Datos!V12,(Datos!L12+Datos!AB12-(Datos!V12+Datos!AJ12))/(Datos!V12+Datos!AJ12))
     ),IF(J_V="SI",(Datos!L12-Datos!V12)/Datos!V12,(Datos!L12+Datos!AB12-(Datos!V12+Datos!AJ12))/(Datos!V12+Datos!AJ12))," - ")</f>
        <v>0.16267942583732056</v>
      </c>
      <c r="F12" s="515">
        <f>IF(ISNUMBER((Datos!M12-Datos!W12)/Datos!W12),(Datos!M12-Datos!W12)/Datos!W12," - ")</f>
        <v>-8.7248322147651006E-2</v>
      </c>
      <c r="G12" s="516">
        <f>IF(ISNUMBER((Datos!N12-Datos!X12)/Datos!X12),(Datos!N12-Datos!X12)/Datos!X12," - ")</f>
        <v>-0.19172932330827067</v>
      </c>
      <c r="H12" s="514">
        <f>IF(ISNUMBER(((NºAsuntos!G12/NºAsuntos!E12)-Datos!BD12)/Datos!BD12),((NºAsuntos!G12/NºAsuntos!E12)-Datos!BD12)/Datos!BD12," - ")</f>
        <v>-4.005864213133814E-2</v>
      </c>
      <c r="I12" s="515">
        <f>IF(ISNUMBER(((NºAsuntos!I12/NºAsuntos!G12)-Datos!BE12)/Datos!BE12),((NºAsuntos!I12/NºAsuntos!G12)-Datos!BE12)/Datos!BE12," - ")</f>
        <v>0.4478232393981843</v>
      </c>
      <c r="J12" s="521">
        <f>IF(ISNUMBER((('Resol  Asuntos'!D12/NºAsuntos!G12)-Datos!BF12)/Datos!BF12),(('Resol  Asuntos'!D12/NºAsuntos!G12)-Datos!BF12)/Datos!BF12," - ")</f>
        <v>-0.36333228508533699</v>
      </c>
      <c r="K12" s="522">
        <f>IF(ISNUMBER((((NºAsuntos!C12+NºAsuntos!E12)/NºAsuntos!G12)-Datos!BG12)/Datos!BG12),(((NºAsuntos!C12+NºAsuntos!E12)/NºAsuntos!G12)-Datos!BG12)/Datos!BG12," - ")</f>
        <v>0.30393707535997011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0.64566929133858264</v>
      </c>
      <c r="C14" s="1152">
        <f>IF(ISNUMBER(
   IF(J_V="SI",(Datos!J14-Datos!T14)/Datos!T14,(Datos!J14+Datos!Z14-(Datos!T14+Datos!AH14))/(Datos!T14+Datos!AH14))
     ),IF(J_V="SI",(Datos!J14-Datos!T14)/Datos!T14,(Datos!J14+Datos!Z14-(Datos!T14+Datos!AH14))/(Datos!T14+Datos!AH14))," - ")</f>
        <v>-0.15491009681881052</v>
      </c>
      <c r="D14" s="1152">
        <f>IF(ISNUMBER(
   IF(J_V="SI",(Datos!K14-Datos!U14)/Datos!U14,(Datos!K14+Datos!AA14-(Datos!U14+Datos!AI14))/(Datos!U14+Datos!AI14))
     ),IF(J_V="SI",(Datos!K14-Datos!U14)/Datos!U14,(Datos!K14+Datos!AA14-(Datos!U14+Datos!AI14))/(Datos!U14+Datos!AI14))," - ")</f>
        <v>-0.19664634146341464</v>
      </c>
      <c r="E14" s="1152">
        <f>IF(ISNUMBER(
   IF(J_V="SI",(Datos!L14-Datos!V14)/Datos!V14,(Datos!L14+Datos!AB14-(Datos!V14+Datos!AJ14))/(Datos!V14+Datos!AJ14))
     ),IF(J_V="SI",(Datos!L14-Datos!V14)/Datos!V14,(Datos!L14+Datos!AB14-(Datos!V14+Datos!AJ14))/(Datos!V14+Datos!AJ14))," - ")</f>
        <v>0.17703349282296652</v>
      </c>
      <c r="F14" s="1153">
        <f>IF(ISNUMBER((Datos!M14-Datos!W14)/Datos!W14),(Datos!M14-Datos!W14)/Datos!W14," - ")</f>
        <v>-8.7248322147651006E-2</v>
      </c>
      <c r="G14" s="1154">
        <f>IF(ISNUMBER((Datos!N14-Datos!X14)/Datos!X14),(Datos!N14-Datos!X14)/Datos!X14," - ")</f>
        <v>-0.18796992481203006</v>
      </c>
      <c r="H14" s="1154">
        <f>IF(ISNUMBER(((NºAsuntos!G14/NºAsuntos!E14)-Datos!BD14)/Datos!BD14),((NºAsuntos!G14/NºAsuntos!E14)-Datos!BD14)/Datos!BD14," - ")</f>
        <v>-4.9386751027903068E-2</v>
      </c>
      <c r="I14" s="1154">
        <f>IF(ISNUMBER(((NºAsuntos!I14/NºAsuntos!G14)-Datos!BE14)/Datos!BE14),((NºAsuntos!I14/NºAsuntos!G14)-Datos!BE14)/Datos!BE14," - ")</f>
        <v>0.46514985064870212</v>
      </c>
      <c r="J14" s="1154">
        <f>IF(ISNUMBER((('Resol  Asuntos'!D14/NºAsuntos!G14)-Datos!BF14)/Datos!BF14),(('Resol  Asuntos'!D14/NºAsuntos!G14)-Datos!BF14)/Datos!BF14," - ")</f>
        <v>-0.36357021586223631</v>
      </c>
      <c r="K14" s="1154">
        <f>IF(ISNUMBER((((NºAsuntos!C14+NºAsuntos!E14)/NºAsuntos!G14)-Datos!BG14)/Datos!BG14),(((NºAsuntos!C14+NºAsuntos!E14)/NºAsuntos!G14)-Datos!BG14)/Datos!BG14," - ")</f>
        <v>0.31103424299689841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2.464788732394366E-2</v>
      </c>
      <c r="C17" s="515">
        <f>IF(ISNUMBER(
   IF(D_I="SI",(Datos!J17-Datos!T17)/Datos!T17,(Datos!J17+Datos!AD17-(Datos!T17+Datos!AL17))/(Datos!T17+Datos!AL17))
     ),IF(D_I="SI",(Datos!J17-Datos!T17)/Datos!T17,(Datos!J17+Datos!AD17-(Datos!T17+Datos!AL17))/(Datos!T17+Datos!AL17))," - ")</f>
        <v>0.17155425219941348</v>
      </c>
      <c r="D17" s="515">
        <f>IF(ISNUMBER(
   IF(D_I="SI",(Datos!K17-Datos!U17)/Datos!U17,(Datos!K17+Datos!AE17-(Datos!U17+Datos!AM17))/(Datos!U17+Datos!AM17))
     ),IF(D_I="SI",(Datos!K17-Datos!U17)/Datos!U17,(Datos!K17+Datos!AE17-(Datos!U17+Datos!AM17))/(Datos!U17+Datos!AM17))," - ")</f>
        <v>-1.0028653295128941E-2</v>
      </c>
      <c r="E17" s="515">
        <f>IF(ISNUMBER(
   IF(D_I="SI",(Datos!L17-Datos!V17)/Datos!V17,(Datos!L17+Datos!AF17-(Datos!V17+Datos!AN17))/(Datos!V17+Datos!AN17))
     ),IF(D_I="SI",(Datos!L17-Datos!V17)/Datos!V17,(Datos!L17+Datos!AF17-(Datos!V17+Datos!AN17))/(Datos!V17+Datos!AN17))," - ")</f>
        <v>0.3951890034364261</v>
      </c>
      <c r="F17" s="515">
        <f>IF(ISNUMBER((Datos!M17-Datos!W17)/Datos!W17),(Datos!M17-Datos!W17)/Datos!W17," - ")</f>
        <v>7.1428571428571425E-2</v>
      </c>
      <c r="G17" s="516">
        <f>IF(ISNUMBER((Datos!N17-Datos!X17)/Datos!X17),(Datos!N17-Datos!X17)/Datos!X17," - ")</f>
        <v>-0.11555555555555555</v>
      </c>
      <c r="H17" s="514">
        <f>IF(ISNUMBER(((NºAsuntos!G17/NºAsuntos!E17)-Datos!BD17)/Datos!BD17),((NºAsuntos!G17/NºAsuntos!E17)-Datos!BD17)/Datos!BD17," - ")</f>
        <v>-0.15499316839459068</v>
      </c>
      <c r="I17" s="515">
        <f>IF(ISNUMBER(((NºAsuntos!I17/NºAsuntos!G17)-Datos!BE17)/Datos!BE17),((NºAsuntos!I17/NºAsuntos!G17)-Datos!BE17)/Datos!BE17," - ")</f>
        <v>0.40932261128599923</v>
      </c>
      <c r="J17" s="521">
        <f>IF(ISNUMBER((('Resol  Asuntos'!D17/NºAsuntos!G17)-Datos!BF17)/Datos!BF17),(('Resol  Asuntos'!D17/NºAsuntos!G17)-Datos!BF17)/Datos!BF17," - ")</f>
        <v>8.2282406450279094E-2</v>
      </c>
      <c r="K17" s="522">
        <f>IF(ISNUMBER((((NºAsuntos!C17+NºAsuntos!E17)/NºAsuntos!G17)-Datos!BG17)/Datos!BG17),(((NºAsuntos!C17+NºAsuntos!E17)/NºAsuntos!G17)-Datos!BG17)/Datos!BG17," - ")</f>
        <v>0.1397949980973954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2.6666666666666665</v>
      </c>
      <c r="C18" s="515">
        <f>IF(ISNUMBER(
   IF(D_I="SI",(Datos!J18-Datos!T18)/Datos!T18,(Datos!J18+Datos!AD18-(Datos!T18+Datos!AL18))/(Datos!T18+Datos!AL18))
     ),IF(D_I="SI",(Datos!J18-Datos!T18)/Datos!T18,(Datos!J18+Datos!AD18-(Datos!T18+Datos!AL18))/(Datos!T18+Datos!AL18))," - ")</f>
        <v>-2.9411764705882353E-2</v>
      </c>
      <c r="D18" s="515">
        <f>IF(ISNUMBER(
   IF(D_I="SI",(Datos!K18-Datos!U18)/Datos!U18,(Datos!K18+Datos!AE18-(Datos!U18+Datos!AM18))/(Datos!U18+Datos!AM18))
     ),IF(D_I="SI",(Datos!K18-Datos!U18)/Datos!U18,(Datos!K18+Datos!AE18-(Datos!U18+Datos!AM18))/(Datos!U18+Datos!AM18))," - ")</f>
        <v>-0.18333333333333332</v>
      </c>
      <c r="E18" s="515">
        <f>IF(ISNUMBER(
   IF(D_I="SI",(Datos!L18-Datos!V18)/Datos!V18,(Datos!L18+Datos!AF18-(Datos!V18+Datos!AN18))/(Datos!V18+Datos!AN18))
     ),IF(D_I="SI",(Datos!L18-Datos!V18)/Datos!V18,(Datos!L18+Datos!AF18-(Datos!V18+Datos!AN18))/(Datos!V18+Datos!AN18))," - ")</f>
        <v>0.77272727272727271</v>
      </c>
      <c r="F18" s="515">
        <f>IF(ISNUMBER((Datos!M18-Datos!W18)/Datos!W18),(Datos!M18-Datos!W18)/Datos!W18," - ")</f>
        <v>0.33333333333333331</v>
      </c>
      <c r="G18" s="516">
        <f>IF(ISNUMBER((Datos!N18-Datos!X18)/Datos!X18),(Datos!N18-Datos!X18)/Datos!X18," - ")</f>
        <v>0.34285714285714286</v>
      </c>
      <c r="H18" s="514">
        <f>IF(ISNUMBER(((NºAsuntos!G18/NºAsuntos!E18)-Datos!BD18)/Datos!BD18),((NºAsuntos!G18/NºAsuntos!E18)-Datos!BD18)/Datos!BD18," - ")</f>
        <v>-0.15858585858585855</v>
      </c>
      <c r="I18" s="515">
        <f>IF(ISNUMBER(((NºAsuntos!I18/NºAsuntos!G18)-Datos!BE18)/Datos!BE18),((NºAsuntos!I18/NºAsuntos!G18)-Datos!BE18)/Datos!BE18," - ")</f>
        <v>1.1706864564007422</v>
      </c>
      <c r="J18" s="521">
        <f>IF(ISNUMBER((('Resol  Asuntos'!D18/NºAsuntos!G18)-Datos!BF18)/Datos!BF18),(('Resol  Asuntos'!D18/NºAsuntos!G18)-Datos!BF18)/Datos!BF18," - ")</f>
        <v>0.63265306122448961</v>
      </c>
      <c r="K18" s="522">
        <f>IF(ISNUMBER((((NºAsuntos!C18+NºAsuntos!E18)/NºAsuntos!G18)-Datos!BG18)/Datos!BG18),(((NºAsuntos!C18+NºAsuntos!E18)/NºAsuntos!G18)-Datos!BG18)/Datos!BG18," - ")</f>
        <v>0.45615002757859896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7.9310344827586213E-2</v>
      </c>
      <c r="C23" s="1152">
        <f>IF(ISNUMBER(
   IF(Criterios!B14="SI",(Datos!J23-Datos!T23)/Datos!T23,(Datos!J23+Datos!AD23-(Datos!T23+Datos!AL23))/(Datos!T23+Datos!AL23))
     ),IF(Criterios!B14="SI",(Datos!J23-Datos!T23)/Datos!T23,(Datos!J23+Datos!AD23-(Datos!T23+Datos!AL23))/(Datos!T23+Datos!AL23))," - ")</f>
        <v>0.15333333333333332</v>
      </c>
      <c r="D23" s="1152">
        <f>IF(ISNUMBER(
   IF(Criterios!B14="SI",(Datos!K23-Datos!U23)/Datos!U23,(Datos!K23+Datos!AE23-(Datos!U23+Datos!AM23))/(Datos!U23+Datos!AM23))
     ),IF(Criterios!B14="SI",(Datos!K23-Datos!U23)/Datos!U23,(Datos!K23+Datos!AE23-(Datos!U23+Datos!AM23))/(Datos!U23+Datos!AM23))," - ")</f>
        <v>-2.3746701846965697E-2</v>
      </c>
      <c r="E23" s="1152">
        <f>IF(ISNUMBER(
   IF(Criterios!B14="SI",(Datos!L23-Datos!V23)/Datos!V23,(Datos!L23+Datos!AF23-(Datos!V23+Datos!AN23))/(Datos!V23+Datos!AN23))
     ),IF(Criterios!B14="SI",(Datos!L23-Datos!V23)/Datos!V23,(Datos!L23+Datos!AF23-(Datos!V23+Datos!AN23))/(Datos!V23+Datos!AN23))," - ")</f>
        <v>0.4217252396166134</v>
      </c>
      <c r="F23" s="1153">
        <f>IF(ISNUMBER((Datos!M23-Datos!W23)/Datos!W23),(Datos!M23-Datos!W23)/Datos!W23," - ")</f>
        <v>8.0459770114942528E-2</v>
      </c>
      <c r="G23" s="1154">
        <f>IF(ISNUMBER((Datos!N23-Datos!X23)/Datos!X23),(Datos!N23-Datos!X23)/Datos!X23," - ")</f>
        <v>-8.247422680412371E-2</v>
      </c>
      <c r="H23" s="1154">
        <f>IF(ISNUMBER(((NºAsuntos!G23/NºAsuntos!E23)-Datos!BD23)/Datos!BD23),((NºAsuntos!G23/NºAsuntos!E23)-Datos!BD23)/Datos!BD23," - ")</f>
        <v>-0.15353760275748465</v>
      </c>
      <c r="I23" s="1154">
        <f>IF(ISNUMBER(((NºAsuntos!I23/NºAsuntos!G23)-Datos!BE23)/Datos!BE23),((NºAsuntos!I23/NºAsuntos!G23)-Datos!BE23)/Datos!BE23," - ")</f>
        <v>0.45630774544512559</v>
      </c>
      <c r="J23" s="1154">
        <f>IF(ISNUMBER((('Resol  Asuntos'!D23/NºAsuntos!G23)-Datos!BF23)/Datos!BF23),(('Resol  Asuntos'!D23/NºAsuntos!G23)-Datos!BF23)/Datos!BF23," - ")</f>
        <v>0.10674122398260341</v>
      </c>
      <c r="K23" s="1154">
        <f>IF(ISNUMBER((((NºAsuntos!C23+NºAsuntos!E23)/NºAsuntos!G23)-Datos!BG23)/Datos!BG23),(((NºAsuntos!C23+NºAsuntos!E23)/NºAsuntos!G23)-Datos!BG23)/Datos!BG23," - ")</f>
        <v>0.16024428274428268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0.34375</v>
      </c>
      <c r="C31" s="1092">
        <f>IF(ISNUMBER(
   IF(J_V="SI",(Datos!J31-Datos!T31)/Datos!T31,(Datos!J31+Datos!Z31-(Datos!T31+Datos!AH31))/(Datos!T31+Datos!AH31))
     ),IF(J_V="SI",(Datos!J31-Datos!T31)/Datos!T31,(Datos!J31+Datos!Z31-(Datos!T31+Datos!AH31))/(Datos!T31+Datos!AH31))," - ")</f>
        <v>2.0366598778004071E-3</v>
      </c>
      <c r="D31" s="1092">
        <f>IF(ISNUMBER(
   IF(J_V="SI",(Datos!K31-Datos!U31)/Datos!U31,(Datos!K31+Datos!AA31-(Datos!U31+Datos!AI31))/(Datos!U31+Datos!AI31))
     ),IF(J_V="SI",(Datos!K31-Datos!U31)/Datos!U31,(Datos!K31+Datos!AA31-(Datos!U31+Datos!AI31))/(Datos!U31+Datos!AI31))," - ")</f>
        <v>-0.10396039603960396</v>
      </c>
      <c r="E31" s="1092">
        <f>IF(ISNUMBER(
   IF(J_V="SI",(Datos!L31-Datos!V31)/Datos!V31,(Datos!L31+Datos!AB31-(Datos!V31+Datos!AJ31))/(Datos!V31+Datos!AJ31))
     ),IF(J_V="SI",(Datos!L31-Datos!V31)/Datos!V31,(Datos!L31+Datos!AB31-(Datos!V31+Datos!AJ31))/(Datos!V31+Datos!AJ31))," - ")</f>
        <v>0.28180574555403559</v>
      </c>
      <c r="F31" s="1093">
        <f>IF(ISNUMBER((Datos!M31-Datos!W31)/Datos!W31),(Datos!M31-Datos!W31)/Datos!W31," - ")</f>
        <v>-2.5423728813559324E-2</v>
      </c>
      <c r="G31" s="1094">
        <f>IF(ISNUMBER((Datos!N31-Datos!X31)/Datos!X31),(Datos!N31-Datos!X31)/Datos!X31," - ")</f>
        <v>-0.11984021304926765</v>
      </c>
      <c r="H31" s="1095">
        <f>IF(ISNUMBER((Tasas!B31-Datos!BD31)/Datos!BD31),(Tasas!B31-Datos!BD31)/Datos!BD31," - ")</f>
        <v>-0.10578161474684046</v>
      </c>
      <c r="I31" s="1096">
        <f>IF(ISNUMBER((Tasas!C31-Datos!BE31)/Datos!BE31),(Tasas!C31-Datos!BE31)/Datos!BE31," - ")</f>
        <v>0.43052353923710029</v>
      </c>
      <c r="J31" s="1097">
        <f>IF(ISNUMBER((Tasas!D31-Datos!BF31)/Datos!BF31),(Tasas!D31-Datos!BF31)/Datos!BF31," - ")</f>
        <v>-0.27284679072824874</v>
      </c>
      <c r="K31" s="1097">
        <f>IF(ISNUMBER((Tasas!E31-Datos!BG31)/Datos!BG31),(Tasas!E31-Datos!BG31)/Datos!BG31," - ")</f>
        <v>0.22115060658436445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UpVUG8jbDphADotoB7cVn0rC9O0wP7hEAtVrlBt8yHXQXOp9NTRsejDR3eXlhT2XarAgrElJnzTKLo8EPbKqQ==" saltValue="B52q2yR2Xjhhfgsz+dSx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TARAZONA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0.14285714285714285</v>
      </c>
      <c r="C10" s="498">
        <f>IF(ISNUMBER(NºAsuntos!I10/NºAsuntos!G10),NºAsuntos!I10/NºAsuntos!G10," - ")</f>
        <v>6</v>
      </c>
      <c r="D10" s="499">
        <f>IF(ISNUMBER('Resol  Asuntos'!D10/NºAsuntos!G10),'Resol  Asuntos'!D10/NºAsuntos!G10," - ")</f>
        <v>0</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0.87086092715231789</v>
      </c>
      <c r="C12" s="498">
        <f>IF(ISNUMBER(NºAsuntos!I12/NºAsuntos!G12),NºAsuntos!I12/NºAsuntos!G12," - ")</f>
        <v>0.92395437262357416</v>
      </c>
      <c r="D12" s="499">
        <f>IF(ISNUMBER('Resol  Asuntos'!D12/NºAsuntos!G12),'Resol  Asuntos'!D12/NºAsuntos!G12," - ")</f>
        <v>0.2585551330798479</v>
      </c>
      <c r="E12" s="500">
        <f>IF(ISNUMBER((NºAsuntos!C12+NºAsuntos!E12)/NºAsuntos!G12),(NºAsuntos!C12+NºAsuntos!E12)/NºAsuntos!G12," - ")</f>
        <v>1.9429657794676807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0.86252045826513912</v>
      </c>
      <c r="C14" s="1156">
        <f>IF(ISNUMBER(NºAsuntos!I14/NºAsuntos!G14),NºAsuntos!I14/NºAsuntos!G14," - ")</f>
        <v>0.93358633776091082</v>
      </c>
      <c r="D14" s="1157">
        <f>IF(ISNUMBER('Resol  Asuntos'!D14/NºAsuntos!G14),'Resol  Asuntos'!D14/NºAsuntos!G14," - ")</f>
        <v>0.25806451612903225</v>
      </c>
      <c r="E14" s="1158">
        <f>IF(ISNUMBER((NºAsuntos!C14+NºAsuntos!E14)/NºAsuntos!G14),(NºAsuntos!C14+NºAsuntos!E14)/NºAsuntos!G14," - ")</f>
        <v>1.9525616698292221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0.8648310387984981</v>
      </c>
      <c r="C17" s="498">
        <f>IF(ISNUMBER(NºAsuntos!I17/NºAsuntos!G17),NºAsuntos!I17/NºAsuntos!G17," - ")</f>
        <v>0.58755426917510856</v>
      </c>
      <c r="D17" s="499">
        <f>IF(ISNUMBER('Resol  Asuntos'!D17/NºAsuntos!G17),'Resol  Asuntos'!D17/NºAsuntos!G17," - ")</f>
        <v>0.13024602026049203</v>
      </c>
      <c r="E17" s="500">
        <f>IF(ISNUMBER((NºAsuntos!C17+NºAsuntos!E17)/NºAsuntos!G17),(NºAsuntos!C17+NºAsuntos!E17)/NºAsuntos!G17," - ")</f>
        <v>1.577424023154848</v>
      </c>
      <c r="G17" s="523"/>
    </row>
    <row r="18" spans="1:7">
      <c r="A18" s="450" t="str">
        <f>Datos!A18</f>
        <v>Jdos. Violencia contra la mujer</v>
      </c>
      <c r="B18" s="497">
        <f>IF(ISNUMBER(NºAsuntos!G18/NºAsuntos!E18),NºAsuntos!G18/NºAsuntos!E18," - ")</f>
        <v>0.74242424242424243</v>
      </c>
      <c r="C18" s="498">
        <f>IF(ISNUMBER(NºAsuntos!I18/NºAsuntos!G18),NºAsuntos!I18/NºAsuntos!G18," - ")</f>
        <v>0.79591836734693877</v>
      </c>
      <c r="D18" s="499">
        <f>IF(ISNUMBER('Resol  Asuntos'!D18/NºAsuntos!G18),'Resol  Asuntos'!D18/NºAsuntos!G18," - ")</f>
        <v>8.1632653061224483E-2</v>
      </c>
      <c r="E18" s="500">
        <f>IF(ISNUMBER((NºAsuntos!C18+NºAsuntos!E18)/NºAsuntos!G18),(NºAsuntos!C18+NºAsuntos!E18)/NºAsuntos!G18," - ")</f>
        <v>1.7959183673469388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0.8554913294797688</v>
      </c>
      <c r="C23" s="1156">
        <f>IF(ISNUMBER(NºAsuntos!I23/NºAsuntos!G23),NºAsuntos!I23/NºAsuntos!G23," - ")</f>
        <v>0.60135135135135132</v>
      </c>
      <c r="D23" s="1159">
        <f>IF(ISNUMBER('Resol  Asuntos'!D23/NºAsuntos!G23),'Resol  Asuntos'!D23/NºAsuntos!G23," - ")</f>
        <v>0.12702702702702703</v>
      </c>
      <c r="E23" s="1158">
        <f>IF(ISNUMBER((NºAsuntos!C23+NºAsuntos!E23)/NºAsuntos!G23),(NºAsuntos!C23+NºAsuntos!E23)/NºAsuntos!G23," - ")</f>
        <v>1.5918918918918918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0.85840108401084014</v>
      </c>
      <c r="C31" s="1099">
        <f>IF(ISNUMBER(NºAsuntos!I31/NºAsuntos!G31),NºAsuntos!I31/NºAsuntos!G31," - ")</f>
        <v>0.739542225730071</v>
      </c>
      <c r="D31" s="1100">
        <f>IF(ISNUMBER('Resol  Asuntos'!D31/NºAsuntos!G31),'Resol  Asuntos'!D31/NºAsuntos!G31," - ")</f>
        <v>0.18153117600631413</v>
      </c>
      <c r="E31" s="1101">
        <f>IF(ISNUMBER((NºAsuntos!C31+NºAsuntos!E31)/NºAsuntos!G31),(NºAsuntos!C31+NºAsuntos!E31)/NºAsuntos!G31," - ")</f>
        <v>1.7419100236779794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8M26ypp86LtExXJIeZkBFACdQuB/nKV9dAFwps69wVjBdNDTwLKldv5FXjIQDid3Dn/tHAe5XsPIj/lCcWmsg==" saltValue="qy7dmbGDd2JJN8LePTVY9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TARAZONA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0.14285714285714285</v>
      </c>
      <c r="AM10" s="284">
        <f>IF(ISNUMBER(((NºAsuntos!I10/NºAsuntos!G10)*11)/factor_trimestre),((NºAsuntos!I10/NºAsuntos!G10)*11)/factor_trimestre," - ")</f>
        <v>66</v>
      </c>
      <c r="AN10" s="267">
        <f>IF(ISNUMBER('Resol  Asuntos'!D10/NºAsuntos!G10),'Resol  Asuntos'!D10/NºAsuntos!G10," - ")</f>
        <v>0</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228</v>
      </c>
      <c r="Y12" s="374">
        <f t="shared" si="0"/>
        <v>228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136</v>
      </c>
      <c r="AJ12" s="243" t="str">
        <f>IF(ISNUMBER(Datos!BW12),Datos!BW12," - ")</f>
        <v xml:space="preserve"> - </v>
      </c>
      <c r="AK12" s="242" t="str">
        <f>IF(ISNUMBER(Datos!BX12),Datos!BX12," - ")</f>
        <v xml:space="preserve"> - </v>
      </c>
      <c r="AL12" s="266">
        <f>IF(ISNUMBER(NºAsuntos!G12/NºAsuntos!E12),NºAsuntos!G12/NºAsuntos!E12," - ")</f>
        <v>0.87086092715231789</v>
      </c>
      <c r="AM12" s="284">
        <f>IF(ISNUMBER(((NºAsuntos!I12/NºAsuntos!G12)*11)/factor_trimestre),((NºAsuntos!I12/NºAsuntos!G12)*11)/factor_trimestre," - ")</f>
        <v>10.163498098859316</v>
      </c>
      <c r="AN12" s="267">
        <f>IF(ISNUMBER('Resol  Asuntos'!D12/NºAsuntos!G12),'Resol  Asuntos'!D12/NºAsuntos!G12," - ")</f>
        <v>0.2585551330798479</v>
      </c>
      <c r="AO12" s="268">
        <f>IF(ISNUMBER((NºAsuntos!C12+NºAsuntos!E12)/NºAsuntos!G12),(NºAsuntos!C12+NºAsuntos!E12)/NºAsuntos!G12," - ")</f>
        <v>1.9429657794676807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228</v>
      </c>
      <c r="Y14" s="1165">
        <f t="shared" si="6"/>
        <v>229</v>
      </c>
      <c r="Z14" s="1165">
        <f t="shared" si="6"/>
        <v>0</v>
      </c>
      <c r="AA14" s="1165">
        <f t="shared" si="6"/>
        <v>6</v>
      </c>
      <c r="AB14" s="1165">
        <f t="shared" si="6"/>
        <v>623</v>
      </c>
      <c r="AC14" s="1165">
        <f t="shared" si="6"/>
        <v>6</v>
      </c>
      <c r="AD14" s="1165">
        <f t="shared" si="6"/>
        <v>0</v>
      </c>
      <c r="AE14" s="1169">
        <f t="shared" si="6"/>
        <v>0</v>
      </c>
      <c r="AF14" s="1162">
        <f t="shared" si="6"/>
        <v>0</v>
      </c>
      <c r="AG14" s="1170">
        <f t="shared" si="6"/>
        <v>0</v>
      </c>
      <c r="AH14" s="1167">
        <f t="shared" si="6"/>
        <v>0</v>
      </c>
      <c r="AI14" s="1162">
        <f t="shared" si="6"/>
        <v>136</v>
      </c>
      <c r="AJ14" s="1164">
        <f t="shared" si="6"/>
        <v>0</v>
      </c>
      <c r="AK14" s="1167">
        <f>SUBTOTAL(9,AK9:AK13)</f>
        <v>0</v>
      </c>
      <c r="AL14" s="1171">
        <f>IF(ISNUMBER(NºAsuntos!G14/NºAsuntos!E14),NºAsuntos!G14/NºAsuntos!E14," - ")</f>
        <v>0.86252045826513912</v>
      </c>
      <c r="AM14" s="1171">
        <f>IF(ISNUMBER(((NºAsuntos!I14/NºAsuntos!G14)*11)/factor_trimestre),((NºAsuntos!I14/NºAsuntos!G14)*11)/factor_trimestre," - ")</f>
        <v>10.269449715370019</v>
      </c>
      <c r="AN14" s="1172">
        <f>IF(ISNUMBER('Resol  Asuntos'!D14/NºAsuntos!G14),'Resol  Asuntos'!D14/NºAsuntos!G14," - ")</f>
        <v>0.25806451612903225</v>
      </c>
      <c r="AO14" s="1173">
        <f>IF(ISNUMBER((NºAsuntos!C14+NºAsuntos!E14)/NºAsuntos!G14),(NºAsuntos!C14+NºAsuntos!E14)/NºAsuntos!G14," - ")</f>
        <v>1.9525616698292221</v>
      </c>
      <c r="AP14" s="1174" t="str">
        <f t="shared" si="2"/>
        <v xml:space="preserve"> - </v>
      </c>
      <c r="AQ14" s="1174" t="str">
        <f>IF(ISNUMBER((H14-W14+K14)/(F14)),(H14-W14+K14)/(F14)," - ")</f>
        <v xml:space="preserve"> - </v>
      </c>
      <c r="AR14" s="1175">
        <f>IF(ISNUMBER((Datos!P14-Datos!Q14)/(Datos!R14-Datos!P14+Datos!Q14)),(Datos!P14-Datos!Q14)/(Datos!R14-Datos!P14+Datos!Q14)," - ")</f>
        <v>-9.7101449275362323E-2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298</v>
      </c>
      <c r="G17" s="373">
        <f>IF(ISNUMBER(IF(D_I="SI",Datos!I17,Datos!I17+Datos!AC17)),IF(D_I="SI",Datos!I17,Datos!I17+Datos!AC17)," - ")</f>
        <v>291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691</v>
      </c>
      <c r="X17" s="240">
        <f>IF(ISNUMBER(Datos!Q17),Datos!Q17," - ")</f>
        <v>17</v>
      </c>
      <c r="Y17" s="374">
        <f t="shared" ref="Y17:Y22" si="9">SUM(W17:X17)</f>
        <v>708</v>
      </c>
      <c r="Z17" s="375" t="str">
        <f>IF(ISNUMBER(Datos!CC17),Datos!CC17," - ")</f>
        <v xml:space="preserve"> - </v>
      </c>
      <c r="AA17" s="372">
        <f>IF(ISNUMBER(IF(D_I="SI",Datos!L17,Datos!L17+Datos!AF17)),IF(D_I="SI",Datos!L17,Datos!L17+Datos!AF17)," - ")</f>
        <v>406</v>
      </c>
      <c r="AB17" s="374">
        <f>IF(ISNUMBER(Datos!R17),Datos!R17," - ")</f>
        <v>25</v>
      </c>
      <c r="AC17" s="374">
        <f t="shared" si="8"/>
        <v>431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90</v>
      </c>
      <c r="AJ17" s="245" t="str">
        <f>IF(ISNUMBER(Datos!BW17),Datos!BW17," - ")</f>
        <v xml:space="preserve"> - </v>
      </c>
      <c r="AK17" s="246" t="str">
        <f>IF(ISNUMBER(Datos!BX17),Datos!BX17," - ")</f>
        <v xml:space="preserve"> - </v>
      </c>
      <c r="AL17" s="266">
        <f>IF(ISNUMBER(NºAsuntos!G17/NºAsuntos!E17),NºAsuntos!G17/NºAsuntos!E17," - ")</f>
        <v>0.8648310387984981</v>
      </c>
      <c r="AM17" s="284">
        <f>IF(ISNUMBER(((NºAsuntos!I17/NºAsuntos!G17)*11)/factor_trimestre),((NºAsuntos!I17/NºAsuntos!G17)*11)/factor_trimestre," - ")</f>
        <v>6.4630969609261939</v>
      </c>
      <c r="AN17" s="267">
        <f>IF(ISNUMBER('Resol  Asuntos'!D17/NºAsuntos!G17),'Resol  Asuntos'!D17/NºAsuntos!G17," - ")</f>
        <v>0.13024602026049203</v>
      </c>
      <c r="AO17" s="268">
        <f>IF(ISNUMBER((NºAsuntos!C17+NºAsuntos!E17)/NºAsuntos!G17),(NºAsuntos!C17+NºAsuntos!E17)/NºAsuntos!G17," - ")</f>
        <v>1.577424023154848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1</v>
      </c>
      <c r="Y18" s="374">
        <f t="shared" si="9"/>
        <v>50</v>
      </c>
      <c r="Z18" s="375" t="str">
        <f>IF(ISNUMBER(Datos!CC18),Datos!CC18," - ")</f>
        <v xml:space="preserve"> - </v>
      </c>
      <c r="AA18" s="372">
        <f>IF(ISNUMBER(Datos!L18),Datos!L18,"-")</f>
        <v>39</v>
      </c>
      <c r="AB18" s="374">
        <f>IF(ISNUMBER(Datos!R18),Datos!R18," - ")</f>
        <v>0</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0.74242424242424243</v>
      </c>
      <c r="AM18" s="284">
        <f>IF(ISNUMBER(((NºAsuntos!I18/NºAsuntos!G18)*11)/factor_trimestre),((NºAsuntos!I18/NºAsuntos!G18)*11)/factor_trimestre," - ")</f>
        <v>8.7551020408163271</v>
      </c>
      <c r="AN18" s="267">
        <f>IF(ISNUMBER('Resol  Asuntos'!D18/NºAsuntos!G18),'Resol  Asuntos'!D18/NºAsuntos!G18," - ")</f>
        <v>8.1632653061224483E-2</v>
      </c>
      <c r="AO18" s="268">
        <f>IF(ISNUMBER((NºAsuntos!C18+NºAsuntos!E18)/NºAsuntos!G18),(NºAsuntos!C18+NºAsuntos!E18)/NºAsuntos!G18," - ")</f>
        <v>1.7959183673469388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298</v>
      </c>
      <c r="G23" s="1163">
        <f>SUBTOTAL(9,G16:G22)</f>
        <v>313</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740</v>
      </c>
      <c r="X23" s="1164">
        <f t="shared" si="14"/>
        <v>18</v>
      </c>
      <c r="Y23" s="1165">
        <f t="shared" si="14"/>
        <v>758</v>
      </c>
      <c r="Z23" s="1165">
        <f t="shared" si="14"/>
        <v>0</v>
      </c>
      <c r="AA23" s="1165">
        <f t="shared" si="14"/>
        <v>445</v>
      </c>
      <c r="AB23" s="1165">
        <f t="shared" si="14"/>
        <v>25</v>
      </c>
      <c r="AC23" s="1165">
        <f t="shared" si="14"/>
        <v>470</v>
      </c>
      <c r="AD23" s="1165">
        <f t="shared" si="14"/>
        <v>0</v>
      </c>
      <c r="AE23" s="1169">
        <f t="shared" si="14"/>
        <v>0</v>
      </c>
      <c r="AF23" s="1162">
        <f t="shared" si="14"/>
        <v>0</v>
      </c>
      <c r="AG23" s="1170">
        <f t="shared" si="14"/>
        <v>0</v>
      </c>
      <c r="AH23" s="1167">
        <f t="shared" si="14"/>
        <v>0</v>
      </c>
      <c r="AI23" s="1162">
        <f t="shared" si="14"/>
        <v>94</v>
      </c>
      <c r="AJ23" s="1164">
        <f t="shared" si="14"/>
        <v>0</v>
      </c>
      <c r="AK23" s="1167">
        <f t="shared" si="14"/>
        <v>0</v>
      </c>
      <c r="AL23" s="1171">
        <f>IF(ISNUMBER(NºAsuntos!G23/NºAsuntos!E23),NºAsuntos!G23/NºAsuntos!E23," - ")</f>
        <v>0.8554913294797688</v>
      </c>
      <c r="AM23" s="1171">
        <f>IF(ISNUMBER(((NºAsuntos!I23/NºAsuntos!G23)*11)/factor_trimestre),((NºAsuntos!I23/NºAsuntos!G23)*11)/factor_trimestre," - ")</f>
        <v>6.6148648648648649</v>
      </c>
      <c r="AN23" s="1172">
        <f>IF(ISNUMBER('Resol  Asuntos'!D23/NºAsuntos!G23),'Resol  Asuntos'!D23/NºAsuntos!G23," - ")</f>
        <v>0.12702702702702703</v>
      </c>
      <c r="AO23" s="1173">
        <f>IF(ISNUMBER((NºAsuntos!C23+NºAsuntos!E23)/NºAsuntos!G23),(NºAsuntos!C23+NºAsuntos!E23)/NºAsuntos!G23," - ")</f>
        <v>1.5918918918918918</v>
      </c>
      <c r="AP23" s="1174" t="str">
        <f t="shared" si="2"/>
        <v xml:space="preserve"> - </v>
      </c>
      <c r="AQ23" s="1174">
        <f>IF(ISNUMBER((H23-W23+K23)/(F23)),(H23-W23+K23)/(F23)," - ")</f>
        <v>-2.4832214765100673</v>
      </c>
      <c r="AR23" s="1175">
        <f>IF(ISNUMBER((Datos!P23-Datos!Q23)/(Datos!R23-Datos!P23+Datos!Q23)),(Datos!P23-Datos!Q23)/(Datos!R23-Datos!P23+Datos!Q23)," - ")</f>
        <v>0.31578947368421051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298</v>
      </c>
      <c r="G31" s="1118">
        <f t="shared" si="20"/>
        <v>313</v>
      </c>
      <c r="H31" s="1117">
        <f t="shared" si="20"/>
        <v>0</v>
      </c>
      <c r="I31" s="1119">
        <f t="shared" si="20"/>
        <v>0</v>
      </c>
      <c r="J31" s="1119">
        <f t="shared" si="20"/>
        <v>0</v>
      </c>
      <c r="K31" s="1180">
        <f t="shared" si="20"/>
        <v>0</v>
      </c>
      <c r="L31" s="1119">
        <f t="shared" si="20"/>
        <v>185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741</v>
      </c>
      <c r="X31" s="1118">
        <f t="shared" si="21"/>
        <v>246</v>
      </c>
      <c r="Y31" s="1125">
        <f t="shared" si="21"/>
        <v>987</v>
      </c>
      <c r="Z31" s="1125">
        <f t="shared" si="21"/>
        <v>0</v>
      </c>
      <c r="AA31" s="1125">
        <f t="shared" si="21"/>
        <v>451</v>
      </c>
      <c r="AB31" s="1125">
        <f t="shared" si="21"/>
        <v>648</v>
      </c>
      <c r="AC31" s="1125">
        <f t="shared" si="21"/>
        <v>476</v>
      </c>
      <c r="AD31" s="1125">
        <f t="shared" si="21"/>
        <v>0</v>
      </c>
      <c r="AE31" s="1127">
        <f t="shared" si="21"/>
        <v>0</v>
      </c>
      <c r="AF31" s="1128">
        <f t="shared" si="21"/>
        <v>0</v>
      </c>
      <c r="AG31" s="1129">
        <f t="shared" si="21"/>
        <v>0</v>
      </c>
      <c r="AH31" s="1127">
        <f t="shared" si="21"/>
        <v>0</v>
      </c>
      <c r="AI31" s="1117">
        <f t="shared" si="21"/>
        <v>230</v>
      </c>
      <c r="AJ31" s="1117">
        <f t="shared" si="21"/>
        <v>0</v>
      </c>
      <c r="AK31" s="1127">
        <f t="shared" si="21"/>
        <v>0</v>
      </c>
      <c r="AL31" s="1183">
        <f>IF(ISNUMBER(NºAsuntos!G31/NºAsuntos!E31),NºAsuntos!G31/NºAsuntos!E31," - ")</f>
        <v>0.85840108401084014</v>
      </c>
      <c r="AM31" s="1184">
        <f>IF(ISNUMBER(((NºAsuntos!I31/NºAsuntos!G31)*11)/factor_trimestre),((NºAsuntos!I31/NºAsuntos!G31)*11)/factor_trimestre," - ")</f>
        <v>8.1349644830307817</v>
      </c>
      <c r="AN31" s="1184">
        <f>IF(ISNUMBER('Resol  Asuntos'!D31/NºAsuntos!G31),'Resol  Asuntos'!D31/NºAsuntos!G31," - ")</f>
        <v>0.18153117600631413</v>
      </c>
      <c r="AO31" s="1185">
        <f>IF(ISNUMBER((NºAsuntos!C31+NºAsuntos!E31)/NºAsuntos!G31),(NºAsuntos!C31+NºAsuntos!E31)/NºAsuntos!G31," - ")</f>
        <v>1.7419100236779794</v>
      </c>
      <c r="AP31" s="1186" t="str">
        <f t="shared" si="2"/>
        <v xml:space="preserve"> - </v>
      </c>
      <c r="AQ31" s="1187">
        <f>IF(OR(ISNUMBER(FIND("01",Criterios!A8,1)),ISNUMBER(FIND("02",Criterios!A8,1)),ISNUMBER(FIND("03",Criterios!A8,1)),ISNUMBER(FIND("04",Criterios!A8,1))),(I31-W31+K31)/(F31-K31),(H31-W31+K31)/(F31-K31))</f>
        <v>-2.4865771812080535</v>
      </c>
      <c r="AR31" s="1188">
        <f>IF(ISNUMBER((Datos!P31-Datos!Q31)/(Datos!R31-Datos!P31+Datos!Q31)),(Datos!P31-Datos!Q31)/(Datos!R31-Datos!P31+Datos!Q31)," - ")</f>
        <v>-8.6036671368124124E-2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153.88653828930805</v>
      </c>
      <c r="G33" s="277">
        <f>IF(ISNUMBER(STDEV(G8:G30)),STDEV(G8:G30),"-")</f>
        <v>145.57455952518757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344.89694803216912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62.671479045210717</v>
      </c>
      <c r="AJ33" s="276">
        <f t="shared" si="25"/>
        <v>0</v>
      </c>
      <c r="AK33" s="278">
        <f t="shared" si="25"/>
        <v>0</v>
      </c>
      <c r="AL33" s="273">
        <f t="shared" si="25"/>
        <v>0.28842388324986834</v>
      </c>
      <c r="AM33" s="274">
        <f t="shared" si="25"/>
        <v>23.551432857053015</v>
      </c>
      <c r="AN33" s="274">
        <f t="shared" si="25"/>
        <v>0.10121715480991303</v>
      </c>
      <c r="AO33" s="275">
        <f t="shared" si="25"/>
        <v>2.1404685672174648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T3oGweKjxhS6o1S9fDDwuXupE3INf6HHSv4nMNvOd7AHH97OEvquD2zQjfimmhPXndRS943rDc0ChllGlePJJw==" saltValue="noBNvJXZfyh3BG+hGD09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TARAZONA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6</v>
      </c>
      <c r="F10" s="393">
        <f>IF(ISNUMBER((Datos!K10-Datos!U10)/Datos!U10),(Datos!K10-Datos!U10)/Datos!U10," - ")</f>
        <v>0</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-8.7248322147651006E-2</v>
      </c>
      <c r="I12" s="395">
        <f>IF(ISNUMBER((Tasas!C12-Datos!BE12)/Datos!BE12),(Tasas!C12-Datos!BE12)/Datos!BE12," - ")</f>
        <v>0.4478232393981843</v>
      </c>
      <c r="J12" s="394">
        <f>IF(ISNUMBER((Tasas!D12-Datos!BF12)/Datos!BF12),(Tasas!D12-Datos!BF12)/Datos!BF12," - ")</f>
        <v>-0.36333228508533699</v>
      </c>
      <c r="K12" s="396">
        <f>IF(ISNUMBER((Tasas!E12-Datos!BG12)/Datos!BG12),(Tasas!E12-Datos!BG12)/Datos!BG12," - ")</f>
        <v>0.30393707535997011</v>
      </c>
      <c r="M12" t="e">
        <f>IF(Monitorios="SI",Datos!CE12,0)</f>
        <v>#REF!</v>
      </c>
      <c r="N12" t="e">
        <f>IF(Monitorios="SI",Datos!CF12,0)</f>
        <v>#REF!</v>
      </c>
      <c r="O12" t="e">
        <f>IF(Monitorios="SI",Datos!CG12,0)</f>
        <v>#REF!</v>
      </c>
      <c r="P12" t="e">
        <f>IF(Monitorios="SI",Datos!CH12,0)</f>
        <v>#REF!</v>
      </c>
      <c r="Q12">
        <f>IF(J_V="SI",0,Datos!AG12)</f>
        <v>5</v>
      </c>
      <c r="R12">
        <f>IF(J_V="SI",0,Datos!AH12)</f>
        <v>57</v>
      </c>
      <c r="S12">
        <f>IF(J_V="SI",0,Datos!AI12)</f>
        <v>50</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-8.7248322147651006E-2</v>
      </c>
      <c r="I14" s="402">
        <f>IF(ISNUMBER((Tasas!C14-Datos!BE14)/Datos!BE14),(Tasas!C14-Datos!BE14)/Datos!BE14," - ")</f>
        <v>0.46514985064870212</v>
      </c>
      <c r="J14" s="400">
        <f>IF(ISNUMBER((Tasas!D14-Datos!BF14)/Datos!BF14),(Tasas!D14-Datos!BF14)/Datos!BF14," - ")</f>
        <v>-0.36357021586223631</v>
      </c>
      <c r="K14" s="403">
        <f>IF(ISNUMBER((Tasas!E14-Datos!BG14)/Datos!BG14),(Tasas!E14-Datos!BG14)/Datos!BG14," - ")</f>
        <v>0.31103424299689841</v>
      </c>
      <c r="M14" t="e">
        <f>IF(Monitorios="SI",Datos!CE14,0)</f>
        <v>#REF!</v>
      </c>
      <c r="N14" t="e">
        <f>IF(Monitorios="SI",Datos!CF14,0)</f>
        <v>#REF!</v>
      </c>
      <c r="O14" t="e">
        <f>IF(Monitorios="SI",Datos!CG14,0)</f>
        <v>#REF!</v>
      </c>
      <c r="P14" t="e">
        <f>IF(Monitorios="SI",Datos!CH14,0)</f>
        <v>#REF!</v>
      </c>
      <c r="Q14">
        <f>IF(J_V="SI",0,Datos!AG14)</f>
        <v>5</v>
      </c>
      <c r="R14">
        <f>IF(J_V="SI",0,Datos!AH14)</f>
        <v>57</v>
      </c>
      <c r="S14">
        <f>IF(J_V="SI",0,Datos!AI14)</f>
        <v>50</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2.464788732394366E-2</v>
      </c>
      <c r="E17" s="393">
        <f>IF(ISNUMBER(
   IF(D_I="SI",(Datos!J17-Datos!T17)/Datos!T17,(Datos!J17+Datos!AD17-(Datos!T17+Datos!AL17))/(Datos!T17+Datos!AL17))
     ),IF(D_I="SI",(Datos!J17-Datos!T17)/Datos!T17,(Datos!J17+Datos!AD17-(Datos!T17+Datos!AL17))/(Datos!T17+Datos!AL17))," - ")</f>
        <v>0.17155425219941348</v>
      </c>
      <c r="F17" s="393">
        <f>IF(ISNUMBER(
   IF(D_I="SI",(Datos!K17-Datos!U17)/Datos!U17,(Datos!K17+Datos!AE17-(Datos!U17+Datos!AM17))/(Datos!U17+Datos!AM17))
     ),IF(D_I="SI",(Datos!K17-Datos!U17)/Datos!U17,(Datos!K17+Datos!AE17-(Datos!U17+Datos!AM17))/(Datos!U17+Datos!AM17))," - ")</f>
        <v>-1.0028653295128941E-2</v>
      </c>
      <c r="G17" s="394">
        <f>IF(ISNUMBER(
   IF(D_I="SI",(Datos!L17-Datos!V17)/Datos!V17,(Datos!L17+Datos!AF17-(Datos!V17+Datos!AN17))/(Datos!V17+Datos!AN17))
     ),IF(D_I="SI",(Datos!L17-Datos!V17)/Datos!V17,(Datos!L17+Datos!AF17-(Datos!V17+Datos!AN17))/(Datos!V17+Datos!AN17))," - ")</f>
        <v>0.3951890034364261</v>
      </c>
      <c r="H17" s="244">
        <f>IF(ISNUMBER((Datos!M17-Datos!W17)/Datos!W17),(Datos!M17-Datos!W17)/Datos!W17," - ")</f>
        <v>7.1428571428571425E-2</v>
      </c>
      <c r="I17" s="395">
        <f>IF(ISNUMBER((Tasas!C17-Datos!BE17)/Datos!BE17),(Tasas!C17-Datos!BE17)/Datos!BE17," - ")</f>
        <v>0.40932261128599923</v>
      </c>
      <c r="J17" s="394">
        <f>IF(ISNUMBER((Tasas!D17-Datos!BF17)/Datos!BF17),(Tasas!D17-Datos!BF17)/Datos!BF17," - ")</f>
        <v>8.2282406450279094E-2</v>
      </c>
      <c r="K17" s="396">
        <f>IF(ISNUMBER((Tasas!E17-Datos!BG17)/Datos!BG17),(Tasas!E17-Datos!BG17)/Datos!BG17," - ")</f>
        <v>0.1397949980973954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2.6666666666666665</v>
      </c>
      <c r="E18" s="393">
        <f>IF(ISNUMBER(
   IF(D_I="SI",(Datos!J18-Datos!T18)/Datos!T18,(Datos!J18+Datos!AD18-(Datos!T18+Datos!AL18))/(Datos!T18+Datos!AL18))
     ),IF(D_I="SI",(Datos!J18-Datos!T18)/Datos!T18,(Datos!J18+Datos!AD18-(Datos!T18+Datos!AL18))/(Datos!T18+Datos!AL18))," - ")</f>
        <v>-2.9411764705882353E-2</v>
      </c>
      <c r="F18" s="393">
        <f>IF(ISNUMBER(
   IF(D_I="SI",(Datos!K18-Datos!U18)/Datos!U18,(Datos!K18+Datos!AE18-(Datos!U18+Datos!AM18))/(Datos!U18+Datos!AM18))
     ),IF(D_I="SI",(Datos!K18-Datos!U18)/Datos!U18,(Datos!K18+Datos!AE18-(Datos!U18+Datos!AM18))/(Datos!U18+Datos!AM18))," - ")</f>
        <v>-0.18333333333333332</v>
      </c>
      <c r="G18" s="394">
        <f>IF(ISNUMBER(
   IF(D_I="SI",(Datos!L18-Datos!V18)/Datos!V18,(Datos!L18+Datos!AF18-(Datos!V18+Datos!AN18))/(Datos!V18+Datos!AN18))
     ),IF(D_I="SI",(Datos!L18-Datos!V18)/Datos!V18,(Datos!L18+Datos!AF18-(Datos!V18+Datos!AN18))/(Datos!V18+Datos!AN18))," - ")</f>
        <v>0.77272727272727271</v>
      </c>
      <c r="H18" s="244">
        <f>IF(ISNUMBER((Datos!M18-Datos!W18)/Datos!W18),(Datos!M18-Datos!W18)/Datos!W18," - ")</f>
        <v>0.33333333333333331</v>
      </c>
      <c r="I18" s="395">
        <f>IF(ISNUMBER((Tasas!C18-Datos!BE18)/Datos!BE18),(Tasas!C18-Datos!BE18)/Datos!BE18," - ")</f>
        <v>1.1706864564007422</v>
      </c>
      <c r="J18" s="394">
        <f>IF(ISNUMBER((Tasas!D18-Datos!BF18)/Datos!BF18),(Tasas!D18-Datos!BF18)/Datos!BF18," - ")</f>
        <v>0.63265306122448961</v>
      </c>
      <c r="K18" s="396">
        <f>IF(ISNUMBER((Tasas!E18-Datos!BG18)/Datos!BG18),(Tasas!E18-Datos!BG18)/Datos!BG18," - ")</f>
        <v>0.45615002757859896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7.9310344827586213E-2</v>
      </c>
      <c r="E23" s="399">
        <f>IF(ISNUMBER(
   IF(D_I="SI",(Datos!J23-Datos!T23)/Datos!T23,(Datos!J23+Datos!AD23-(Datos!T23+Datos!AL23))/(Datos!T23+Datos!AL23))
     ),IF(D_I="SI",(Datos!J23-Datos!T23)/Datos!T23,(Datos!J23+Datos!AD23-(Datos!T23+Datos!AL23))/(Datos!T23+Datos!AL23))," - ")</f>
        <v>0.15333333333333332</v>
      </c>
      <c r="F23" s="399">
        <f>IF(ISNUMBER(
   IF(D_I="SI",(Datos!K23-Datos!U23)/Datos!U23,(Datos!K23+Datos!AE23-(Datos!U23+Datos!AM23))/(Datos!U23+Datos!AM23))
     ),IF(D_I="SI",(Datos!K23-Datos!U23)/Datos!U23,(Datos!K23+Datos!AE23-(Datos!U23+Datos!AM23))/(Datos!U23+Datos!AM23))," - ")</f>
        <v>-2.3746701846965697E-2</v>
      </c>
      <c r="G23" s="400">
        <f>IF(ISNUMBER(
   IF(D_I="SI",(Datos!L23-Datos!V23)/Datos!V23,(Datos!L23+Datos!AF23-(Datos!V23+Datos!AN23))/(Datos!V23+Datos!AN23))
     ),IF(D_I="SI",(Datos!L23-Datos!V23)/Datos!V23,(Datos!L23+Datos!AF23-(Datos!V23+Datos!AN23))/(Datos!V23+Datos!AN23))," - ")</f>
        <v>0.4217252396166134</v>
      </c>
      <c r="H23" s="401">
        <f>IF(ISNUMBER((Datos!M23-Datos!W23)/Datos!W23),(Datos!M23-Datos!W23)/Datos!W23," - ")</f>
        <v>8.0459770114942528E-2</v>
      </c>
      <c r="I23" s="402">
        <f>IF(ISNUMBER((Tasas!C23-Datos!BE23)/Datos!BE23),(Tasas!C23-Datos!BE23)/Datos!BE23," - ")</f>
        <v>0.45630774544512559</v>
      </c>
      <c r="J23" s="400">
        <f>IF(ISNUMBER((Tasas!D23-Datos!BF23)/Datos!BF23),(Tasas!D23-Datos!BF23)/Datos!BF23," - ")</f>
        <v>0.10674122398260341</v>
      </c>
      <c r="K23" s="403">
        <f>IF(ISNUMBER((Tasas!E23-Datos!BG23)/Datos!BG23),(Tasas!E23-Datos!BG23)/Datos!BG23," - ")</f>
        <v>0.16024428274428268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0.34375</v>
      </c>
      <c r="E31" s="409">
        <f>IF(ISNUMBER(
   IF(J_V="SI",(Datos!J31-Datos!T31)/Datos!T31,(Datos!J31+Datos!Z31-(Datos!T31+Datos!AH31))/(Datos!T31+Datos!AH31))
     ),IF(J_V="SI",(Datos!J31-Datos!T31)/Datos!T31,(Datos!J31+Datos!Z31-(Datos!T31+Datos!AH31))/(Datos!T31+Datos!AH31))," - ")</f>
        <v>2.0366598778004071E-3</v>
      </c>
      <c r="F31" s="409">
        <f>IF(ISNUMBER(
   IF(J_V="SI",(Datos!K31-Datos!U31)/Datos!U31,(Datos!K31+Datos!AA31-(Datos!U31+Datos!AI31))/(Datos!U31+Datos!AI31))
     ),IF(J_V="SI",(Datos!K31-Datos!U31)/Datos!U31,(Datos!K31+Datos!AA31-(Datos!U31+Datos!AI31))/(Datos!U31+Datos!AI31))," - ")</f>
        <v>-0.10396039603960396</v>
      </c>
      <c r="G31" s="410">
        <f>IF(ISNUMBER(
   IF(J_V="SI",(Datos!L31-Datos!V31)/Datos!V31,(Datos!L31+Datos!AB31-(Datos!V31+Datos!AJ31))/(Datos!V31+Datos!AJ31))
     ),IF(J_V="SI",(Datos!L31-Datos!V31)/Datos!V31,(Datos!L31+Datos!AB31-(Datos!V31+Datos!AJ31))/(Datos!V31+Datos!AJ31))," - ")</f>
        <v>0.28180574555403559</v>
      </c>
      <c r="H31" s="411">
        <f>IF(ISNUMBER((Datos!M31-Datos!W31)/Datos!W31),(Datos!M31-Datos!W31)/Datos!W31," - ")</f>
        <v>-2.5423728813559324E-2</v>
      </c>
      <c r="I31" s="408">
        <f>IF(ISNUMBER((Tasas!C31-Datos!BE31)/Datos!BE31),(Tasas!C31-Datos!BE31)/Datos!BE31," - ")</f>
        <v>0.43052353923710029</v>
      </c>
      <c r="J31" s="409">
        <f>IF(ISNUMBER((Tasas!D31-Datos!BF31)/Datos!BF31),(Tasas!D31-Datos!BF31)/Datos!BF31," - ")</f>
        <v>-0.27284679072824874</v>
      </c>
      <c r="K31" s="410">
        <f>IF(ISNUMBER((Tasas!E31-Datos!BG31)/Datos!BG31),(Tasas!E31-Datos!BG31)/Datos!BG31," - ")</f>
        <v>0.22115060658436445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1.5098379576862215</v>
      </c>
      <c r="E33" s="303">
        <f t="shared" si="1"/>
        <v>2.9521491082378164</v>
      </c>
      <c r="F33" s="303">
        <f t="shared" si="1"/>
        <v>8.6586267567387354E-2</v>
      </c>
      <c r="G33" s="304">
        <f t="shared" si="1"/>
        <v>0.2107295833754543</v>
      </c>
      <c r="H33" s="310">
        <f t="shared" si="1"/>
        <v>0.1721928112927244</v>
      </c>
      <c r="I33" s="302">
        <f t="shared" si="1"/>
        <v>0.32539068385884051</v>
      </c>
      <c r="J33" s="303">
        <f t="shared" si="1"/>
        <v>0.41255642068321313</v>
      </c>
      <c r="K33" s="304">
        <f t="shared" si="1"/>
        <v>2.3403737137948144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wqQyX6ZkKknj6Tuf5btzbNT2BvoDWUI48rUMGzSVLFP9vd/tAy5o/BJ759+QGzwTZ78RCz6gpHzuFWVVUFgpw==" saltValue="DeIiz5poO7cJxo0ldJ/ev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